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5180" windowHeight="9216" tabRatio="601" activeTab="2"/>
  </bookViews>
  <sheets>
    <sheet name="regularizare trim. I 2013" sheetId="1" r:id="rId1"/>
    <sheet name="BUGET ian.-DEC. 2012" sheetId="2" r:id="rId2"/>
    <sheet name="BUGET AN 2018" sheetId="3" r:id="rId3"/>
    <sheet name="Foaie2" sheetId="4" r:id="rId4"/>
    <sheet name="Foaie3" sheetId="5" r:id="rId5"/>
  </sheets>
  <definedNames/>
  <calcPr fullCalcOnLoad="1"/>
</workbook>
</file>

<file path=xl/sharedStrings.xml><?xml version="1.0" encoding="utf-8"?>
<sst xmlns="http://schemas.openxmlformats.org/spreadsheetml/2006/main" count="485" uniqueCount="149">
  <si>
    <t>ARAMA LUCICA</t>
  </si>
  <si>
    <t>BALTAG MIRON</t>
  </si>
  <si>
    <t>BALTAG MONICA</t>
  </si>
  <si>
    <t>BANICA ET CO</t>
  </si>
  <si>
    <t>BOLDUREANU IOAN</t>
  </si>
  <si>
    <t>CAPITANEANU EUGENIA</t>
  </si>
  <si>
    <t>COCIANU ANTONELLA</t>
  </si>
  <si>
    <t>DOBRESCU NICOLAE</t>
  </si>
  <si>
    <t>DRAGOSTIN GABRIEL</t>
  </si>
  <si>
    <t>EFTIMIE DORU</t>
  </si>
  <si>
    <t>EFTIMIE STELIANA</t>
  </si>
  <si>
    <t>FADEI STEFANESCU RAULIA</t>
  </si>
  <si>
    <t>GHITESCU AURELIA</t>
  </si>
  <si>
    <t>IONASCU GABRIELA</t>
  </si>
  <si>
    <t>LACATUS SEBASTIAN</t>
  </si>
  <si>
    <t>MITU DELIA</t>
  </si>
  <si>
    <t>MORTU DORINA</t>
  </si>
  <si>
    <t>NEGOITA MARIA</t>
  </si>
  <si>
    <t>POPA NATALIA ANGHELINA</t>
  </si>
  <si>
    <t>RADULESCU VASILICA</t>
  </si>
  <si>
    <t>ROMANOV CLAUDIA</t>
  </si>
  <si>
    <t>SAMOILA AURORA RODICA</t>
  </si>
  <si>
    <t>STAMATE MARIA MAGDALENA</t>
  </si>
  <si>
    <t>VERONA DAN ARTHUR</t>
  </si>
  <si>
    <t>IVANOV ROXANA</t>
  </si>
  <si>
    <t>TURCOIU OANA RUXANDRA</t>
  </si>
  <si>
    <t>nr.crt.</t>
  </si>
  <si>
    <t>Nume cabinet</t>
  </si>
  <si>
    <t>Gr. prof.</t>
  </si>
  <si>
    <t>S</t>
  </si>
  <si>
    <t>M</t>
  </si>
  <si>
    <t>P</t>
  </si>
  <si>
    <t xml:space="preserve">total  an </t>
  </si>
  <si>
    <t>Urban</t>
  </si>
  <si>
    <t>Rural</t>
  </si>
  <si>
    <t>Program activitate</t>
  </si>
  <si>
    <t>Asistenta</t>
  </si>
  <si>
    <t>nu</t>
  </si>
  <si>
    <t>da</t>
  </si>
  <si>
    <t>Tichilesti</t>
  </si>
  <si>
    <t>LOVMAR-dr.Orlov</t>
  </si>
  <si>
    <t>Tufesti</t>
  </si>
  <si>
    <t>Racovita</t>
  </si>
  <si>
    <t>Galbenu</t>
  </si>
  <si>
    <t>M. miresii</t>
  </si>
  <si>
    <t>Chiscani</t>
  </si>
  <si>
    <t>Maxineni</t>
  </si>
  <si>
    <t>Salcia Tudor</t>
  </si>
  <si>
    <t xml:space="preserve"> Repart. Grad</t>
  </si>
  <si>
    <t xml:space="preserve"> Repart. rural</t>
  </si>
  <si>
    <t>Repart. finala</t>
  </si>
  <si>
    <t xml:space="preserve"> Repart.  program</t>
  </si>
  <si>
    <t>contr.munca</t>
  </si>
  <si>
    <t>angajat tehnician dentar</t>
  </si>
  <si>
    <t xml:space="preserve">Repart. nr. medici </t>
  </si>
  <si>
    <t>Gropeni</t>
  </si>
  <si>
    <t>iulie</t>
  </si>
  <si>
    <t>aug.</t>
  </si>
  <si>
    <t>sept.</t>
  </si>
  <si>
    <t>oct.</t>
  </si>
  <si>
    <t>nov.</t>
  </si>
  <si>
    <t>dec.</t>
  </si>
  <si>
    <t>mai</t>
  </si>
  <si>
    <r>
      <t xml:space="preserve">ANGHELESCU </t>
    </r>
    <r>
      <rPr>
        <b/>
        <sz val="8"/>
        <rFont val="Arial"/>
        <family val="2"/>
      </rPr>
      <t>DRAGOS CRISTIAN</t>
    </r>
  </si>
  <si>
    <t>SIRBU CRISTINA</t>
  </si>
  <si>
    <t>TUDOSE GABRIEALA ELENA</t>
  </si>
  <si>
    <t xml:space="preserve">Repart. Finala </t>
  </si>
  <si>
    <t>Total. Iulie-dec. 2011</t>
  </si>
  <si>
    <t>BARBU STELUTA (Stelidental)</t>
  </si>
  <si>
    <t>Program activitate in contract cu CAS</t>
  </si>
  <si>
    <t>Repart. Finala rotunjit feb.-dec. 2012</t>
  </si>
  <si>
    <t>FEB.-DEC 2013</t>
  </si>
  <si>
    <t>TOTAL AN IAN.-DEC.2013</t>
  </si>
  <si>
    <t>TRIM. I 2013 contractat</t>
  </si>
  <si>
    <t>februarie realizat</t>
  </si>
  <si>
    <t>ianuarie realizat</t>
  </si>
  <si>
    <t>ian. '2013</t>
  </si>
  <si>
    <t>total martie 2013</t>
  </si>
  <si>
    <t>nov. 2013</t>
  </si>
  <si>
    <t>martie realizat</t>
  </si>
  <si>
    <t xml:space="preserve">TRIM.I 2013 realizat </t>
  </si>
  <si>
    <t>dif tim.I intre contractat si realizat</t>
  </si>
  <si>
    <t>coeficient repartizare    buget dupa grad prof.</t>
  </si>
  <si>
    <t>coeficient majorare buget pt. rural</t>
  </si>
  <si>
    <t>TRIM. I</t>
  </si>
  <si>
    <t>TRIM. II</t>
  </si>
  <si>
    <t>Repart. Finala lunara rotunjit pt. TRIM.IV 2015</t>
  </si>
  <si>
    <t>TRIM. IV</t>
  </si>
  <si>
    <t>PUNCTAJ   FINAL</t>
  </si>
  <si>
    <t xml:space="preserve">TRIM. I 2016 CALCULAT CU PUNCTAJ (buget trimestru I 2016 =125.000) </t>
  </si>
  <si>
    <t xml:space="preserve">repartizare buget lunar-IAN.2016 </t>
  </si>
  <si>
    <t>TUDOSE GABRIELA ELENA</t>
  </si>
  <si>
    <t>Nume medic/cabinet</t>
  </si>
  <si>
    <t xml:space="preserve">IAN. </t>
  </si>
  <si>
    <t xml:space="preserve">FEB. </t>
  </si>
  <si>
    <t xml:space="preserve">MAR. </t>
  </si>
  <si>
    <t xml:space="preserve">APR. </t>
  </si>
  <si>
    <t xml:space="preserve">MAI. </t>
  </si>
  <si>
    <t xml:space="preserve">IUN. </t>
  </si>
  <si>
    <t xml:space="preserve">IUL. </t>
  </si>
  <si>
    <t xml:space="preserve">OCT. </t>
  </si>
  <si>
    <t xml:space="preserve">NOV. </t>
  </si>
  <si>
    <t xml:space="preserve">DEC. </t>
  </si>
  <si>
    <t>LOVMAR DENT SRL-dr.Orlov</t>
  </si>
  <si>
    <t>BANICA ET CO SNC</t>
  </si>
  <si>
    <t xml:space="preserve">TRIM. II 2016 CALCULAT CU PUNCTAJ (buget trimestru II 2016 =106.000) </t>
  </si>
  <si>
    <t xml:space="preserve">repartizare buget lunar-APR.2016 </t>
  </si>
  <si>
    <t>PUNCTAJ   FINAL    iulie 2016</t>
  </si>
  <si>
    <t>VIZIRU sem.I 2016/URBAN sem.II 2016</t>
  </si>
  <si>
    <t>POPA GABRIELA</t>
  </si>
  <si>
    <t>FEB.</t>
  </si>
  <si>
    <t>MAR.</t>
  </si>
  <si>
    <t>APR.</t>
  </si>
  <si>
    <t>MAI</t>
  </si>
  <si>
    <t>IUNIE</t>
  </si>
  <si>
    <t>IULIE</t>
  </si>
  <si>
    <t>AUG.</t>
  </si>
  <si>
    <t>SEPT.</t>
  </si>
  <si>
    <t xml:space="preserve">VARTOLOMEI </t>
  </si>
  <si>
    <t>TRIM. III</t>
  </si>
  <si>
    <t>TRIM.  I</t>
  </si>
  <si>
    <t>SITUATIA CONTRACTARII SERVICIILOR DE MEDICINA DENTARA-IAN.-DEC. 2018</t>
  </si>
  <si>
    <t>POPA GABRIEL VALERIU</t>
  </si>
  <si>
    <t>PORUMB DORIAN</t>
  </si>
  <si>
    <t>TANASE ROXANA</t>
  </si>
  <si>
    <t>ICONARU-HANCU MARILENA GABRIELA</t>
  </si>
  <si>
    <t>CRISTIAN CORNELIA COSMINA</t>
  </si>
  <si>
    <t>113.000:22.8=4956,14lei/mai+iunie</t>
  </si>
  <si>
    <t>4956,14:2=2478,08 lei/luna mai</t>
  </si>
  <si>
    <t>142.000:22.8=6228,07lei/trim. III</t>
  </si>
  <si>
    <t>6228,07:3=2076,02lei/luna trim. III</t>
  </si>
  <si>
    <t>84.000:22.8=3684,21lei/trim. IV</t>
  </si>
  <si>
    <t>3684,21:3=1228,07lei/luna trim.IV</t>
  </si>
  <si>
    <t>149.000-36.000=113.000lei mai-dec.</t>
  </si>
  <si>
    <t>544,60:21,20=25,68 reg. trim. III 2018</t>
  </si>
  <si>
    <t>70.607:22=3.209,40</t>
  </si>
  <si>
    <t>4.607+66.000=70.607</t>
  </si>
  <si>
    <t>PUNCTAJ   FINAL  2019</t>
  </si>
  <si>
    <t>51000:22=2318,18 lei</t>
  </si>
  <si>
    <t>repartizare buget pe luna ian. 2019</t>
  </si>
  <si>
    <t>IAN</t>
  </si>
  <si>
    <t>PUNCTAJ   FINAL pt. trim. II 2019</t>
  </si>
  <si>
    <t>luna I 2019=51,000 LEI</t>
  </si>
  <si>
    <t>53000:21,20=2.500 lei</t>
  </si>
  <si>
    <t>repartizare buget pe luna apr. 2019</t>
  </si>
  <si>
    <t>repartizare buget pe luna iunie 2019</t>
  </si>
  <si>
    <t>54000:21,20=2547,16lei</t>
  </si>
  <si>
    <t>TOTAL AN 2019</t>
  </si>
  <si>
    <t>trim. II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</si>
</sst>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</numFmts>
  <fonts count="58">
    <font>
      <sz val="10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0"/>
    </font>
    <font>
      <b/>
      <sz val="9"/>
      <color indexed="12"/>
      <name val="Arial"/>
      <family val="2"/>
    </font>
    <font>
      <sz val="9"/>
      <name val="Times New Roman"/>
      <family val="0"/>
    </font>
    <font>
      <b/>
      <sz val="10"/>
      <name val="Arial"/>
      <family val="2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12"/>
      <name val="Times New Roman"/>
      <family val="1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56"/>
      <name val="Times New Roman"/>
      <family val="1"/>
    </font>
    <font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0"/>
    </font>
    <font>
      <sz val="10"/>
      <color indexed="12"/>
      <name val="Arial"/>
      <family val="0"/>
    </font>
    <font>
      <b/>
      <sz val="14"/>
      <color indexed="12"/>
      <name val="Times New Roman"/>
      <family val="0"/>
    </font>
    <font>
      <sz val="14"/>
      <name val="Arial"/>
      <family val="0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1"/>
      <name val="Arial"/>
      <family val="0"/>
    </font>
    <font>
      <b/>
      <sz val="14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8"/>
      <color indexed="12"/>
      <name val="Times New Roman"/>
      <family val="0"/>
    </font>
    <font>
      <b/>
      <sz val="8"/>
      <color indexed="10"/>
      <name val="Times New Roman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0"/>
    </font>
    <font>
      <b/>
      <sz val="9"/>
      <color indexed="18"/>
      <name val="Arial"/>
      <family val="2"/>
    </font>
    <font>
      <sz val="14"/>
      <color indexed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6" fillId="0" borderId="1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3" borderId="2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Border="1" applyAlignment="1">
      <alignment/>
    </xf>
    <xf numFmtId="0" fontId="14" fillId="3" borderId="0" xfId="0" applyFont="1" applyFill="1" applyAlignment="1">
      <alignment/>
    </xf>
    <xf numFmtId="0" fontId="17" fillId="3" borderId="4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9" fillId="3" borderId="4" xfId="0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19" fillId="3" borderId="4" xfId="0" applyFont="1" applyFill="1" applyBorder="1" applyAlignment="1">
      <alignment horizontal="right"/>
    </xf>
    <xf numFmtId="0" fontId="19" fillId="3" borderId="5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12" fillId="0" borderId="6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0" fontId="7" fillId="2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6" fillId="4" borderId="1" xfId="0" applyNumberFormat="1" applyFont="1" applyFill="1" applyBorder="1" applyAlignment="1">
      <alignment horizontal="right"/>
    </xf>
    <xf numFmtId="2" fontId="0" fillId="4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4" fillId="3" borderId="3" xfId="0" applyFont="1" applyFill="1" applyBorder="1" applyAlignment="1">
      <alignment/>
    </xf>
    <xf numFmtId="2" fontId="14" fillId="3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3" fontId="23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0" fontId="2" fillId="0" borderId="2" xfId="19" applyFont="1" applyBorder="1">
      <alignment/>
      <protection/>
    </xf>
    <xf numFmtId="0" fontId="2" fillId="0" borderId="3" xfId="19" applyFont="1" applyBorder="1">
      <alignment/>
      <protection/>
    </xf>
    <xf numFmtId="2" fontId="6" fillId="4" borderId="7" xfId="0" applyNumberFormat="1" applyFont="1" applyFill="1" applyBorder="1" applyAlignment="1">
      <alignment horizontal="right"/>
    </xf>
    <xf numFmtId="2" fontId="6" fillId="2" borderId="7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/>
    </xf>
    <xf numFmtId="0" fontId="11" fillId="4" borderId="9" xfId="19" applyFont="1" applyFill="1" applyBorder="1">
      <alignment/>
      <protection/>
    </xf>
    <xf numFmtId="0" fontId="1" fillId="4" borderId="9" xfId="0" applyFont="1" applyFill="1" applyBorder="1" applyAlignment="1">
      <alignment/>
    </xf>
    <xf numFmtId="0" fontId="6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2" fontId="3" fillId="4" borderId="8" xfId="0" applyNumberFormat="1" applyFont="1" applyFill="1" applyBorder="1" applyAlignment="1">
      <alignment wrapText="1"/>
    </xf>
    <xf numFmtId="2" fontId="6" fillId="4" borderId="9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4" fillId="3" borderId="9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/>
    </xf>
    <xf numFmtId="3" fontId="16" fillId="0" borderId="0" xfId="0" applyNumberFormat="1" applyFont="1" applyBorder="1" applyAlignment="1">
      <alignment wrapText="1"/>
    </xf>
    <xf numFmtId="3" fontId="24" fillId="0" borderId="0" xfId="0" applyNumberFormat="1" applyFont="1" applyAlignment="1">
      <alignment wrapText="1"/>
    </xf>
    <xf numFmtId="2" fontId="1" fillId="4" borderId="1" xfId="0" applyNumberFormat="1" applyFont="1" applyFill="1" applyBorder="1" applyAlignment="1">
      <alignment horizontal="right"/>
    </xf>
    <xf numFmtId="0" fontId="1" fillId="2" borderId="13" xfId="0" applyNumberFormat="1" applyFont="1" applyFill="1" applyBorder="1" applyAlignment="1">
      <alignment horizontal="center" wrapText="1"/>
    </xf>
    <xf numFmtId="0" fontId="2" fillId="2" borderId="6" xfId="19" applyNumberFormat="1" applyFont="1" applyFill="1" applyBorder="1" applyAlignment="1">
      <alignment horizontal="center" vertical="center" wrapText="1"/>
      <protection/>
    </xf>
    <xf numFmtId="0" fontId="3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5" fillId="4" borderId="6" xfId="0" applyNumberFormat="1" applyFont="1" applyFill="1" applyBorder="1" applyAlignment="1">
      <alignment horizontal="center" wrapText="1"/>
    </xf>
    <xf numFmtId="0" fontId="22" fillId="2" borderId="6" xfId="0" applyNumberFormat="1" applyFont="1" applyFill="1" applyBorder="1" applyAlignment="1">
      <alignment horizontal="center" wrapText="1"/>
    </xf>
    <xf numFmtId="0" fontId="12" fillId="3" borderId="6" xfId="0" applyNumberFormat="1" applyFont="1" applyFill="1" applyBorder="1" applyAlignment="1">
      <alignment horizontal="center"/>
    </xf>
    <xf numFmtId="0" fontId="12" fillId="3" borderId="14" xfId="0" applyNumberFormat="1" applyFont="1" applyFill="1" applyBorder="1" applyAlignment="1">
      <alignment horizontal="center" textRotation="90" wrapText="1"/>
    </xf>
    <xf numFmtId="0" fontId="12" fillId="3" borderId="15" xfId="0" applyNumberFormat="1" applyFont="1" applyFill="1" applyBorder="1" applyAlignment="1">
      <alignment horizontal="center" textRotation="90"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" fontId="22" fillId="2" borderId="6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2" fontId="0" fillId="4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25" fillId="2" borderId="1" xfId="0" applyNumberFormat="1" applyFont="1" applyFill="1" applyBorder="1" applyAlignment="1">
      <alignment horizontal="right"/>
    </xf>
    <xf numFmtId="2" fontId="25" fillId="2" borderId="9" xfId="0" applyNumberFormat="1" applyFont="1" applyFill="1" applyBorder="1" applyAlignment="1">
      <alignment horizontal="right"/>
    </xf>
    <xf numFmtId="17" fontId="13" fillId="2" borderId="6" xfId="0" applyNumberFormat="1" applyFont="1" applyFill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29" fillId="3" borderId="2" xfId="0" applyFont="1" applyFill="1" applyBorder="1" applyAlignment="1">
      <alignment/>
    </xf>
    <xf numFmtId="0" fontId="29" fillId="0" borderId="0" xfId="0" applyFont="1" applyAlignment="1">
      <alignment/>
    </xf>
    <xf numFmtId="1" fontId="0" fillId="2" borderId="0" xfId="0" applyNumberFormat="1" applyFont="1" applyFill="1" applyAlignment="1">
      <alignment/>
    </xf>
    <xf numFmtId="2" fontId="30" fillId="4" borderId="1" xfId="0" applyNumberFormat="1" applyFont="1" applyFill="1" applyBorder="1" applyAlignment="1">
      <alignment horizontal="right"/>
    </xf>
    <xf numFmtId="1" fontId="30" fillId="2" borderId="1" xfId="0" applyNumberFormat="1" applyFont="1" applyFill="1" applyBorder="1" applyAlignment="1">
      <alignment horizontal="right"/>
    </xf>
    <xf numFmtId="2" fontId="32" fillId="4" borderId="1" xfId="0" applyNumberFormat="1" applyFont="1" applyFill="1" applyBorder="1" applyAlignment="1">
      <alignment horizontal="right"/>
    </xf>
    <xf numFmtId="2" fontId="32" fillId="2" borderId="1" xfId="0" applyNumberFormat="1" applyFont="1" applyFill="1" applyBorder="1" applyAlignment="1">
      <alignment horizontal="right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" fontId="35" fillId="4" borderId="1" xfId="0" applyNumberFormat="1" applyFont="1" applyFill="1" applyBorder="1" applyAlignment="1">
      <alignment horizontal="right"/>
    </xf>
    <xf numFmtId="0" fontId="37" fillId="0" borderId="1" xfId="0" applyNumberFormat="1" applyFont="1" applyBorder="1" applyAlignment="1">
      <alignment wrapText="1"/>
    </xf>
    <xf numFmtId="2" fontId="37" fillId="0" borderId="1" xfId="0" applyNumberFormat="1" applyFont="1" applyBorder="1" applyAlignment="1">
      <alignment horizontal="right"/>
    </xf>
    <xf numFmtId="2" fontId="39" fillId="0" borderId="1" xfId="0" applyNumberFormat="1" applyFont="1" applyBorder="1" applyAlignment="1">
      <alignment horizontal="right"/>
    </xf>
    <xf numFmtId="2" fontId="7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0" fontId="13" fillId="3" borderId="2" xfId="0" applyFont="1" applyFill="1" applyBorder="1" applyAlignment="1">
      <alignment/>
    </xf>
    <xf numFmtId="1" fontId="0" fillId="3" borderId="0" xfId="0" applyNumberFormat="1" applyFont="1" applyFill="1" applyAlignment="1">
      <alignment/>
    </xf>
    <xf numFmtId="0" fontId="30" fillId="5" borderId="1" xfId="0" applyFont="1" applyFill="1" applyBorder="1" applyAlignment="1">
      <alignment horizontal="right"/>
    </xf>
    <xf numFmtId="0" fontId="23" fillId="6" borderId="1" xfId="0" applyFont="1" applyFill="1" applyBorder="1" applyAlignment="1">
      <alignment/>
    </xf>
    <xf numFmtId="0" fontId="30" fillId="6" borderId="2" xfId="0" applyFont="1" applyFill="1" applyBorder="1" applyAlignment="1">
      <alignment/>
    </xf>
    <xf numFmtId="0" fontId="30" fillId="6" borderId="2" xfId="0" applyFont="1" applyFill="1" applyBorder="1" applyAlignment="1">
      <alignment horizontal="right"/>
    </xf>
    <xf numFmtId="0" fontId="30" fillId="6" borderId="1" xfId="0" applyFont="1" applyFill="1" applyBorder="1" applyAlignment="1">
      <alignment horizontal="right"/>
    </xf>
    <xf numFmtId="0" fontId="37" fillId="6" borderId="1" xfId="0" applyNumberFormat="1" applyFont="1" applyFill="1" applyBorder="1" applyAlignment="1">
      <alignment wrapText="1"/>
    </xf>
    <xf numFmtId="2" fontId="37" fillId="6" borderId="1" xfId="0" applyNumberFormat="1" applyFont="1" applyFill="1" applyBorder="1" applyAlignment="1">
      <alignment horizontal="right"/>
    </xf>
    <xf numFmtId="2" fontId="30" fillId="6" borderId="1" xfId="0" applyNumberFormat="1" applyFont="1" applyFill="1" applyBorder="1" applyAlignment="1">
      <alignment horizontal="right"/>
    </xf>
    <xf numFmtId="1" fontId="37" fillId="6" borderId="1" xfId="0" applyNumberFormat="1" applyFont="1" applyFill="1" applyBorder="1" applyAlignment="1">
      <alignment horizontal="right"/>
    </xf>
    <xf numFmtId="1" fontId="30" fillId="6" borderId="1" xfId="0" applyNumberFormat="1" applyFont="1" applyFill="1" applyBorder="1" applyAlignment="1">
      <alignment horizontal="right"/>
    </xf>
    <xf numFmtId="0" fontId="17" fillId="6" borderId="2" xfId="0" applyFont="1" applyFill="1" applyBorder="1" applyAlignment="1">
      <alignment/>
    </xf>
    <xf numFmtId="0" fontId="27" fillId="6" borderId="2" xfId="0" applyFont="1" applyFill="1" applyBorder="1" applyAlignment="1">
      <alignment/>
    </xf>
    <xf numFmtId="0" fontId="27" fillId="6" borderId="0" xfId="0" applyFont="1" applyFill="1" applyAlignment="1">
      <alignment/>
    </xf>
    <xf numFmtId="2" fontId="30" fillId="7" borderId="1" xfId="0" applyNumberFormat="1" applyFont="1" applyFill="1" applyBorder="1" applyAlignment="1">
      <alignment horizontal="right"/>
    </xf>
    <xf numFmtId="2" fontId="38" fillId="6" borderId="1" xfId="0" applyNumberFormat="1" applyFont="1" applyFill="1" applyBorder="1" applyAlignment="1">
      <alignment horizontal="right"/>
    </xf>
    <xf numFmtId="2" fontId="31" fillId="6" borderId="2" xfId="0" applyNumberFormat="1" applyFont="1" applyFill="1" applyBorder="1" applyAlignment="1">
      <alignment horizontal="right"/>
    </xf>
    <xf numFmtId="1" fontId="30" fillId="6" borderId="2" xfId="0" applyNumberFormat="1" applyFont="1" applyFill="1" applyBorder="1" applyAlignment="1">
      <alignment horizontal="right"/>
    </xf>
    <xf numFmtId="0" fontId="43" fillId="6" borderId="2" xfId="0" applyFont="1" applyFill="1" applyBorder="1" applyAlignment="1">
      <alignment/>
    </xf>
    <xf numFmtId="0" fontId="28" fillId="6" borderId="2" xfId="0" applyFont="1" applyFill="1" applyBorder="1" applyAlignment="1">
      <alignment/>
    </xf>
    <xf numFmtId="0" fontId="28" fillId="6" borderId="0" xfId="0" applyFont="1" applyFill="1" applyAlignment="1">
      <alignment/>
    </xf>
    <xf numFmtId="0" fontId="23" fillId="7" borderId="1" xfId="0" applyFont="1" applyFill="1" applyBorder="1" applyAlignment="1">
      <alignment/>
    </xf>
    <xf numFmtId="0" fontId="31" fillId="7" borderId="2" xfId="0" applyFont="1" applyFill="1" applyBorder="1" applyAlignment="1">
      <alignment/>
    </xf>
    <xf numFmtId="0" fontId="31" fillId="7" borderId="2" xfId="0" applyFont="1" applyFill="1" applyBorder="1" applyAlignment="1">
      <alignment horizontal="right"/>
    </xf>
    <xf numFmtId="0" fontId="30" fillId="7" borderId="1" xfId="0" applyFont="1" applyFill="1" applyBorder="1" applyAlignment="1">
      <alignment horizontal="right"/>
    </xf>
    <xf numFmtId="0" fontId="37" fillId="7" borderId="1" xfId="0" applyNumberFormat="1" applyFont="1" applyFill="1" applyBorder="1" applyAlignment="1">
      <alignment wrapText="1"/>
    </xf>
    <xf numFmtId="2" fontId="37" fillId="7" borderId="1" xfId="0" applyNumberFormat="1" applyFont="1" applyFill="1" applyBorder="1" applyAlignment="1">
      <alignment horizontal="right"/>
    </xf>
    <xf numFmtId="2" fontId="38" fillId="7" borderId="1" xfId="0" applyNumberFormat="1" applyFont="1" applyFill="1" applyBorder="1" applyAlignment="1">
      <alignment horizontal="right"/>
    </xf>
    <xf numFmtId="2" fontId="31" fillId="7" borderId="1" xfId="0" applyNumberFormat="1" applyFont="1" applyFill="1" applyBorder="1" applyAlignment="1">
      <alignment horizontal="right"/>
    </xf>
    <xf numFmtId="1" fontId="30" fillId="7" borderId="1" xfId="0" applyNumberFormat="1" applyFont="1" applyFill="1" applyBorder="1" applyAlignment="1">
      <alignment horizontal="right"/>
    </xf>
    <xf numFmtId="0" fontId="43" fillId="7" borderId="2" xfId="0" applyFont="1" applyFill="1" applyBorder="1" applyAlignment="1">
      <alignment/>
    </xf>
    <xf numFmtId="0" fontId="28" fillId="7" borderId="2" xfId="0" applyFont="1" applyFill="1" applyBorder="1" applyAlignment="1">
      <alignment/>
    </xf>
    <xf numFmtId="0" fontId="28" fillId="7" borderId="0" xfId="0" applyFont="1" applyFill="1" applyAlignment="1">
      <alignment/>
    </xf>
    <xf numFmtId="0" fontId="23" fillId="8" borderId="1" xfId="0" applyFont="1" applyFill="1" applyBorder="1" applyAlignment="1">
      <alignment/>
    </xf>
    <xf numFmtId="0" fontId="31" fillId="8" borderId="3" xfId="0" applyFont="1" applyFill="1" applyBorder="1" applyAlignment="1">
      <alignment/>
    </xf>
    <xf numFmtId="0" fontId="31" fillId="8" borderId="3" xfId="0" applyFont="1" applyFill="1" applyBorder="1" applyAlignment="1">
      <alignment horizontal="right"/>
    </xf>
    <xf numFmtId="0" fontId="31" fillId="8" borderId="2" xfId="0" applyFont="1" applyFill="1" applyBorder="1" applyAlignment="1">
      <alignment horizontal="right"/>
    </xf>
    <xf numFmtId="0" fontId="30" fillId="8" borderId="1" xfId="0" applyFont="1" applyFill="1" applyBorder="1" applyAlignment="1">
      <alignment horizontal="right"/>
    </xf>
    <xf numFmtId="0" fontId="37" fillId="8" borderId="1" xfId="0" applyNumberFormat="1" applyFont="1" applyFill="1" applyBorder="1" applyAlignment="1">
      <alignment wrapText="1"/>
    </xf>
    <xf numFmtId="2" fontId="37" fillId="8" borderId="1" xfId="0" applyNumberFormat="1" applyFont="1" applyFill="1" applyBorder="1" applyAlignment="1">
      <alignment horizontal="right"/>
    </xf>
    <xf numFmtId="2" fontId="30" fillId="8" borderId="1" xfId="0" applyNumberFormat="1" applyFont="1" applyFill="1" applyBorder="1" applyAlignment="1">
      <alignment horizontal="right"/>
    </xf>
    <xf numFmtId="2" fontId="31" fillId="8" borderId="2" xfId="0" applyNumberFormat="1" applyFont="1" applyFill="1" applyBorder="1" applyAlignment="1">
      <alignment horizontal="right"/>
    </xf>
    <xf numFmtId="2" fontId="31" fillId="8" borderId="1" xfId="0" applyNumberFormat="1" applyFont="1" applyFill="1" applyBorder="1" applyAlignment="1">
      <alignment horizontal="right"/>
    </xf>
    <xf numFmtId="1" fontId="37" fillId="8" borderId="1" xfId="0" applyNumberFormat="1" applyFont="1" applyFill="1" applyBorder="1" applyAlignment="1">
      <alignment horizontal="right"/>
    </xf>
    <xf numFmtId="1" fontId="30" fillId="8" borderId="1" xfId="0" applyNumberFormat="1" applyFont="1" applyFill="1" applyBorder="1" applyAlignment="1">
      <alignment horizontal="right"/>
    </xf>
    <xf numFmtId="0" fontId="43" fillId="8" borderId="2" xfId="0" applyFont="1" applyFill="1" applyBorder="1" applyAlignment="1">
      <alignment/>
    </xf>
    <xf numFmtId="0" fontId="28" fillId="8" borderId="2" xfId="0" applyFont="1" applyFill="1" applyBorder="1" applyAlignment="1">
      <alignment/>
    </xf>
    <xf numFmtId="0" fontId="28" fillId="8" borderId="0" xfId="0" applyFont="1" applyFill="1" applyAlignment="1">
      <alignment/>
    </xf>
    <xf numFmtId="0" fontId="31" fillId="8" borderId="2" xfId="0" applyFont="1" applyFill="1" applyBorder="1" applyAlignment="1">
      <alignment/>
    </xf>
    <xf numFmtId="0" fontId="31" fillId="8" borderId="2" xfId="0" applyFont="1" applyFill="1" applyBorder="1" applyAlignment="1">
      <alignment horizontal="right"/>
    </xf>
    <xf numFmtId="2" fontId="38" fillId="8" borderId="1" xfId="0" applyNumberFormat="1" applyFont="1" applyFill="1" applyBorder="1" applyAlignment="1">
      <alignment horizontal="right"/>
    </xf>
    <xf numFmtId="2" fontId="33" fillId="8" borderId="1" xfId="0" applyNumberFormat="1" applyFont="1" applyFill="1" applyBorder="1" applyAlignment="1">
      <alignment horizontal="right"/>
    </xf>
    <xf numFmtId="0" fontId="44" fillId="8" borderId="2" xfId="0" applyFont="1" applyFill="1" applyBorder="1" applyAlignment="1">
      <alignment/>
    </xf>
    <xf numFmtId="0" fontId="26" fillId="8" borderId="0" xfId="0" applyFont="1" applyFill="1" applyAlignment="1">
      <alignment/>
    </xf>
    <xf numFmtId="1" fontId="37" fillId="7" borderId="1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4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wrapText="1"/>
    </xf>
    <xf numFmtId="1" fontId="3" fillId="3" borderId="8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1" fontId="0" fillId="4" borderId="0" xfId="0" applyNumberFormat="1" applyFont="1" applyFill="1" applyAlignment="1">
      <alignment/>
    </xf>
    <xf numFmtId="1" fontId="23" fillId="4" borderId="8" xfId="0" applyNumberFormat="1" applyFont="1" applyFill="1" applyBorder="1" applyAlignment="1">
      <alignment wrapText="1"/>
    </xf>
    <xf numFmtId="2" fontId="1" fillId="5" borderId="16" xfId="0" applyNumberFormat="1" applyFont="1" applyFill="1" applyBorder="1" applyAlignment="1">
      <alignment horizontal="right"/>
    </xf>
    <xf numFmtId="0" fontId="23" fillId="5" borderId="16" xfId="0" applyFont="1" applyFill="1" applyBorder="1" applyAlignment="1">
      <alignment horizontal="right"/>
    </xf>
    <xf numFmtId="2" fontId="23" fillId="4" borderId="8" xfId="0" applyNumberFormat="1" applyFont="1" applyFill="1" applyBorder="1" applyAlignment="1">
      <alignment wrapText="1"/>
    </xf>
    <xf numFmtId="2" fontId="37" fillId="6" borderId="1" xfId="0" applyNumberFormat="1" applyFont="1" applyFill="1" applyBorder="1" applyAlignment="1">
      <alignment horizontal="right"/>
    </xf>
    <xf numFmtId="2" fontId="37" fillId="8" borderId="1" xfId="0" applyNumberFormat="1" applyFont="1" applyFill="1" applyBorder="1" applyAlignment="1">
      <alignment horizontal="right"/>
    </xf>
    <xf numFmtId="2" fontId="37" fillId="7" borderId="1" xfId="0" applyNumberFormat="1" applyFont="1" applyFill="1" applyBorder="1" applyAlignment="1">
      <alignment horizontal="right"/>
    </xf>
    <xf numFmtId="0" fontId="30" fillId="9" borderId="1" xfId="0" applyFont="1" applyFill="1" applyBorder="1" applyAlignment="1">
      <alignment horizontal="right"/>
    </xf>
    <xf numFmtId="2" fontId="23" fillId="9" borderId="8" xfId="0" applyNumberFormat="1" applyFont="1" applyFill="1" applyBorder="1" applyAlignment="1">
      <alignment wrapText="1"/>
    </xf>
    <xf numFmtId="1" fontId="23" fillId="9" borderId="8" xfId="0" applyNumberFormat="1" applyFont="1" applyFill="1" applyBorder="1" applyAlignment="1">
      <alignment wrapText="1"/>
    </xf>
    <xf numFmtId="1" fontId="0" fillId="9" borderId="0" xfId="0" applyNumberFormat="1" applyFont="1" applyFill="1" applyAlignment="1">
      <alignment/>
    </xf>
    <xf numFmtId="2" fontId="47" fillId="9" borderId="8" xfId="0" applyNumberFormat="1" applyFont="1" applyFill="1" applyBorder="1" applyAlignment="1">
      <alignment wrapText="1"/>
    </xf>
    <xf numFmtId="2" fontId="36" fillId="9" borderId="0" xfId="0" applyNumberFormat="1" applyFont="1" applyFill="1" applyAlignment="1">
      <alignment/>
    </xf>
    <xf numFmtId="0" fontId="41" fillId="0" borderId="0" xfId="0" applyFont="1" applyAlignment="1">
      <alignment horizontal="left"/>
    </xf>
    <xf numFmtId="2" fontId="1" fillId="9" borderId="16" xfId="0" applyNumberFormat="1" applyFont="1" applyFill="1" applyBorder="1" applyAlignment="1">
      <alignment horizontal="right"/>
    </xf>
    <xf numFmtId="1" fontId="30" fillId="4" borderId="1" xfId="0" applyNumberFormat="1" applyFont="1" applyFill="1" applyBorder="1" applyAlignment="1">
      <alignment horizontal="right"/>
    </xf>
    <xf numFmtId="0" fontId="30" fillId="10" borderId="1" xfId="0" applyFont="1" applyFill="1" applyBorder="1" applyAlignment="1">
      <alignment horizontal="right"/>
    </xf>
    <xf numFmtId="0" fontId="37" fillId="10" borderId="1" xfId="0" applyNumberFormat="1" applyFont="1" applyFill="1" applyBorder="1" applyAlignment="1">
      <alignment wrapText="1"/>
    </xf>
    <xf numFmtId="2" fontId="37" fillId="10" borderId="1" xfId="0" applyNumberFormat="1" applyFont="1" applyFill="1" applyBorder="1" applyAlignment="1">
      <alignment horizontal="right"/>
    </xf>
    <xf numFmtId="2" fontId="40" fillId="10" borderId="1" xfId="0" applyNumberFormat="1" applyFont="1" applyFill="1" applyBorder="1" applyAlignment="1">
      <alignment horizontal="right"/>
    </xf>
    <xf numFmtId="2" fontId="30" fillId="10" borderId="1" xfId="0" applyNumberFormat="1" applyFont="1" applyFill="1" applyBorder="1" applyAlignment="1">
      <alignment horizontal="right"/>
    </xf>
    <xf numFmtId="1" fontId="37" fillId="10" borderId="1" xfId="0" applyNumberFormat="1" applyFont="1" applyFill="1" applyBorder="1" applyAlignment="1">
      <alignment horizontal="right"/>
    </xf>
    <xf numFmtId="2" fontId="37" fillId="10" borderId="1" xfId="0" applyNumberFormat="1" applyFont="1" applyFill="1" applyBorder="1" applyAlignment="1">
      <alignment horizontal="right"/>
    </xf>
    <xf numFmtId="1" fontId="30" fillId="10" borderId="1" xfId="0" applyNumberFormat="1" applyFont="1" applyFill="1" applyBorder="1" applyAlignment="1">
      <alignment horizontal="right"/>
    </xf>
    <xf numFmtId="0" fontId="17" fillId="10" borderId="2" xfId="0" applyFont="1" applyFill="1" applyBorder="1" applyAlignment="1">
      <alignment/>
    </xf>
    <xf numFmtId="0" fontId="27" fillId="10" borderId="2" xfId="0" applyFont="1" applyFill="1" applyBorder="1" applyAlignment="1">
      <alignment/>
    </xf>
    <xf numFmtId="0" fontId="27" fillId="10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51" fillId="2" borderId="0" xfId="0" applyNumberFormat="1" applyFont="1" applyFill="1" applyAlignment="1">
      <alignment/>
    </xf>
    <xf numFmtId="1" fontId="49" fillId="2" borderId="0" xfId="0" applyNumberFormat="1" applyFont="1" applyFill="1" applyAlignment="1">
      <alignment/>
    </xf>
    <xf numFmtId="1" fontId="48" fillId="4" borderId="8" xfId="0" applyNumberFormat="1" applyFont="1" applyFill="1" applyBorder="1" applyAlignment="1">
      <alignment wrapText="1"/>
    </xf>
    <xf numFmtId="2" fontId="4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" fontId="35" fillId="8" borderId="1" xfId="0" applyNumberFormat="1" applyFont="1" applyFill="1" applyBorder="1" applyAlignment="1">
      <alignment horizontal="right"/>
    </xf>
    <xf numFmtId="0" fontId="43" fillId="8" borderId="2" xfId="0" applyFont="1" applyFill="1" applyBorder="1" applyAlignment="1">
      <alignment wrapText="1"/>
    </xf>
    <xf numFmtId="0" fontId="30" fillId="8" borderId="17" xfId="0" applyFont="1" applyFill="1" applyBorder="1" applyAlignment="1">
      <alignment horizontal="right"/>
    </xf>
    <xf numFmtId="0" fontId="37" fillId="8" borderId="17" xfId="0" applyNumberFormat="1" applyFont="1" applyFill="1" applyBorder="1" applyAlignment="1">
      <alignment wrapText="1"/>
    </xf>
    <xf numFmtId="2" fontId="37" fillId="8" borderId="17" xfId="0" applyNumberFormat="1" applyFont="1" applyFill="1" applyBorder="1" applyAlignment="1">
      <alignment horizontal="right"/>
    </xf>
    <xf numFmtId="2" fontId="38" fillId="8" borderId="17" xfId="0" applyNumberFormat="1" applyFont="1" applyFill="1" applyBorder="1" applyAlignment="1">
      <alignment horizontal="right"/>
    </xf>
    <xf numFmtId="2" fontId="30" fillId="8" borderId="17" xfId="0" applyNumberFormat="1" applyFont="1" applyFill="1" applyBorder="1" applyAlignment="1">
      <alignment horizontal="right"/>
    </xf>
    <xf numFmtId="2" fontId="0" fillId="8" borderId="17" xfId="0" applyNumberFormat="1" applyFont="1" applyFill="1" applyBorder="1" applyAlignment="1">
      <alignment/>
    </xf>
    <xf numFmtId="1" fontId="37" fillId="8" borderId="17" xfId="0" applyNumberFormat="1" applyFont="1" applyFill="1" applyBorder="1" applyAlignment="1">
      <alignment horizontal="right"/>
    </xf>
    <xf numFmtId="1" fontId="35" fillId="8" borderId="17" xfId="0" applyNumberFormat="1" applyFont="1" applyFill="1" applyBorder="1" applyAlignment="1">
      <alignment horizontal="right"/>
    </xf>
    <xf numFmtId="2" fontId="37" fillId="8" borderId="17" xfId="0" applyNumberFormat="1" applyFont="1" applyFill="1" applyBorder="1" applyAlignment="1">
      <alignment horizontal="right"/>
    </xf>
    <xf numFmtId="1" fontId="0" fillId="8" borderId="17" xfId="0" applyNumberFormat="1" applyFont="1" applyFill="1" applyBorder="1" applyAlignment="1">
      <alignment/>
    </xf>
    <xf numFmtId="1" fontId="30" fillId="8" borderId="17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30" fillId="8" borderId="7" xfId="0" applyFont="1" applyFill="1" applyBorder="1" applyAlignment="1">
      <alignment horizontal="right"/>
    </xf>
    <xf numFmtId="1" fontId="30" fillId="8" borderId="7" xfId="0" applyNumberFormat="1" applyFont="1" applyFill="1" applyBorder="1" applyAlignment="1">
      <alignment horizontal="right"/>
    </xf>
    <xf numFmtId="0" fontId="30" fillId="8" borderId="2" xfId="0" applyFont="1" applyFill="1" applyBorder="1" applyAlignment="1">
      <alignment horizontal="right"/>
    </xf>
    <xf numFmtId="0" fontId="37" fillId="8" borderId="2" xfId="0" applyNumberFormat="1" applyFont="1" applyFill="1" applyBorder="1" applyAlignment="1">
      <alignment wrapText="1"/>
    </xf>
    <xf numFmtId="2" fontId="37" fillId="8" borderId="2" xfId="0" applyNumberFormat="1" applyFont="1" applyFill="1" applyBorder="1" applyAlignment="1">
      <alignment horizontal="right"/>
    </xf>
    <xf numFmtId="2" fontId="38" fillId="8" borderId="2" xfId="0" applyNumberFormat="1" applyFont="1" applyFill="1" applyBorder="1" applyAlignment="1">
      <alignment horizontal="right"/>
    </xf>
    <xf numFmtId="2" fontId="30" fillId="8" borderId="2" xfId="0" applyNumberFormat="1" applyFont="1" applyFill="1" applyBorder="1" applyAlignment="1">
      <alignment horizontal="right"/>
    </xf>
    <xf numFmtId="2" fontId="0" fillId="8" borderId="2" xfId="0" applyNumberFormat="1" applyFont="1" applyFill="1" applyBorder="1" applyAlignment="1">
      <alignment/>
    </xf>
    <xf numFmtId="1" fontId="37" fillId="8" borderId="2" xfId="0" applyNumberFormat="1" applyFont="1" applyFill="1" applyBorder="1" applyAlignment="1">
      <alignment horizontal="right"/>
    </xf>
    <xf numFmtId="1" fontId="35" fillId="8" borderId="2" xfId="0" applyNumberFormat="1" applyFont="1" applyFill="1" applyBorder="1" applyAlignment="1">
      <alignment horizontal="right"/>
    </xf>
    <xf numFmtId="2" fontId="37" fillId="8" borderId="2" xfId="0" applyNumberFormat="1" applyFont="1" applyFill="1" applyBorder="1" applyAlignment="1">
      <alignment horizontal="right"/>
    </xf>
    <xf numFmtId="1" fontId="0" fillId="8" borderId="2" xfId="0" applyNumberFormat="1" applyFont="1" applyFill="1" applyBorder="1" applyAlignment="1">
      <alignment/>
    </xf>
    <xf numFmtId="1" fontId="30" fillId="8" borderId="2" xfId="0" applyNumberFormat="1" applyFont="1" applyFill="1" applyBorder="1" applyAlignment="1">
      <alignment horizontal="right"/>
    </xf>
    <xf numFmtId="0" fontId="45" fillId="0" borderId="0" xfId="0" applyFont="1" applyAlignment="1">
      <alignment horizontal="left"/>
    </xf>
    <xf numFmtId="1" fontId="14" fillId="2" borderId="0" xfId="0" applyNumberFormat="1" applyFont="1" applyFill="1" applyAlignment="1">
      <alignment/>
    </xf>
    <xf numFmtId="2" fontId="35" fillId="7" borderId="1" xfId="0" applyNumberFormat="1" applyFont="1" applyFill="1" applyBorder="1" applyAlignment="1">
      <alignment horizontal="right"/>
    </xf>
    <xf numFmtId="2" fontId="35" fillId="6" borderId="1" xfId="0" applyNumberFormat="1" applyFont="1" applyFill="1" applyBorder="1" applyAlignment="1">
      <alignment horizontal="right"/>
    </xf>
    <xf numFmtId="2" fontId="35" fillId="8" borderId="1" xfId="0" applyNumberFormat="1" applyFont="1" applyFill="1" applyBorder="1" applyAlignment="1">
      <alignment horizontal="right"/>
    </xf>
    <xf numFmtId="1" fontId="12" fillId="2" borderId="0" xfId="0" applyNumberFormat="1" applyFont="1" applyFill="1" applyAlignment="1">
      <alignment/>
    </xf>
    <xf numFmtId="2" fontId="52" fillId="6" borderId="1" xfId="0" applyNumberFormat="1" applyFont="1" applyFill="1" applyBorder="1" applyAlignment="1">
      <alignment horizontal="right"/>
    </xf>
    <xf numFmtId="2" fontId="52" fillId="7" borderId="1" xfId="0" applyNumberFormat="1" applyFont="1" applyFill="1" applyBorder="1" applyAlignment="1">
      <alignment horizontal="right"/>
    </xf>
    <xf numFmtId="2" fontId="53" fillId="9" borderId="1" xfId="0" applyNumberFormat="1" applyFont="1" applyFill="1" applyBorder="1" applyAlignment="1">
      <alignment horizontal="right"/>
    </xf>
    <xf numFmtId="2" fontId="52" fillId="8" borderId="1" xfId="0" applyNumberFormat="1" applyFont="1" applyFill="1" applyBorder="1" applyAlignment="1">
      <alignment horizontal="right"/>
    </xf>
    <xf numFmtId="2" fontId="53" fillId="3" borderId="1" xfId="0" applyNumberFormat="1" applyFont="1" applyFill="1" applyBorder="1" applyAlignment="1">
      <alignment horizontal="right"/>
    </xf>
    <xf numFmtId="0" fontId="23" fillId="9" borderId="1" xfId="0" applyFont="1" applyFill="1" applyBorder="1" applyAlignment="1">
      <alignment/>
    </xf>
    <xf numFmtId="0" fontId="32" fillId="9" borderId="2" xfId="0" applyFont="1" applyFill="1" applyBorder="1" applyAlignment="1">
      <alignment/>
    </xf>
    <xf numFmtId="0" fontId="32" fillId="9" borderId="2" xfId="0" applyFont="1" applyFill="1" applyBorder="1" applyAlignment="1">
      <alignment horizontal="right"/>
    </xf>
    <xf numFmtId="0" fontId="32" fillId="9" borderId="2" xfId="0" applyFont="1" applyFill="1" applyBorder="1" applyAlignment="1">
      <alignment horizontal="right"/>
    </xf>
    <xf numFmtId="0" fontId="30" fillId="6" borderId="1" xfId="0" applyFont="1" applyFill="1" applyBorder="1" applyAlignment="1">
      <alignment/>
    </xf>
    <xf numFmtId="0" fontId="17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3" fillId="2" borderId="6" xfId="0" applyNumberFormat="1" applyFont="1" applyFill="1" applyBorder="1" applyAlignment="1">
      <alignment horizontal="center" textRotation="90" wrapText="1"/>
    </xf>
    <xf numFmtId="0" fontId="3" fillId="5" borderId="6" xfId="0" applyNumberFormat="1" applyFont="1" applyFill="1" applyBorder="1" applyAlignment="1">
      <alignment horizontal="center" textRotation="90" wrapText="1"/>
    </xf>
    <xf numFmtId="0" fontId="3" fillId="9" borderId="6" xfId="0" applyNumberFormat="1" applyFont="1" applyFill="1" applyBorder="1" applyAlignment="1">
      <alignment horizontal="center" textRotation="90" wrapText="1"/>
    </xf>
    <xf numFmtId="1" fontId="22" fillId="2" borderId="6" xfId="0" applyNumberFormat="1" applyFont="1" applyFill="1" applyBorder="1" applyAlignment="1">
      <alignment horizontal="center" wrapText="1"/>
    </xf>
    <xf numFmtId="1" fontId="22" fillId="4" borderId="6" xfId="0" applyNumberFormat="1" applyFont="1" applyFill="1" applyBorder="1" applyAlignment="1">
      <alignment horizontal="center" wrapText="1"/>
    </xf>
    <xf numFmtId="2" fontId="29" fillId="2" borderId="6" xfId="0" applyNumberFormat="1" applyFont="1" applyFill="1" applyBorder="1" applyAlignment="1">
      <alignment horizontal="center" wrapText="1"/>
    </xf>
    <xf numFmtId="1" fontId="22" fillId="9" borderId="6" xfId="0" applyNumberFormat="1" applyFont="1" applyFill="1" applyBorder="1" applyAlignment="1">
      <alignment horizontal="center" wrapText="1"/>
    </xf>
    <xf numFmtId="1" fontId="50" fillId="2" borderId="6" xfId="0" applyNumberFormat="1" applyFont="1" applyFill="1" applyBorder="1" applyAlignment="1">
      <alignment horizontal="center" wrapText="1"/>
    </xf>
    <xf numFmtId="1" fontId="13" fillId="2" borderId="6" xfId="0" applyNumberFormat="1" applyFont="1" applyFill="1" applyBorder="1" applyAlignment="1">
      <alignment horizontal="center" wrapText="1"/>
    </xf>
    <xf numFmtId="1" fontId="29" fillId="2" borderId="6" xfId="0" applyNumberFormat="1" applyFont="1" applyFill="1" applyBorder="1" applyAlignment="1">
      <alignment horizontal="center" wrapText="1"/>
    </xf>
    <xf numFmtId="49" fontId="22" fillId="2" borderId="6" xfId="0" applyNumberFormat="1" applyFont="1" applyFill="1" applyBorder="1" applyAlignment="1">
      <alignment horizontal="center" wrapText="1"/>
    </xf>
    <xf numFmtId="0" fontId="12" fillId="3" borderId="15" xfId="0" applyNumberFormat="1" applyFont="1" applyFill="1" applyBorder="1" applyAlignment="1">
      <alignment horizontal="center" textRotation="90" wrapText="1"/>
    </xf>
    <xf numFmtId="2" fontId="12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2" fontId="3" fillId="9" borderId="6" xfId="0" applyNumberFormat="1" applyFont="1" applyFill="1" applyBorder="1" applyAlignment="1">
      <alignment horizontal="center" textRotation="90" wrapText="1"/>
    </xf>
    <xf numFmtId="1" fontId="23" fillId="2" borderId="0" xfId="0" applyNumberFormat="1" applyFont="1" applyFill="1" applyAlignment="1">
      <alignment/>
    </xf>
    <xf numFmtId="1" fontId="39" fillId="2" borderId="6" xfId="0" applyNumberFormat="1" applyFont="1" applyFill="1" applyBorder="1" applyAlignment="1">
      <alignment horizontal="center" wrapText="1"/>
    </xf>
    <xf numFmtId="1" fontId="16" fillId="3" borderId="0" xfId="0" applyNumberFormat="1" applyFont="1" applyFill="1" applyAlignment="1">
      <alignment/>
    </xf>
    <xf numFmtId="1" fontId="45" fillId="2" borderId="0" xfId="0" applyNumberFormat="1" applyFont="1" applyFill="1" applyAlignment="1">
      <alignment/>
    </xf>
    <xf numFmtId="2" fontId="55" fillId="6" borderId="1" xfId="0" applyNumberFormat="1" applyFont="1" applyFill="1" applyBorder="1" applyAlignment="1">
      <alignment horizontal="right"/>
    </xf>
    <xf numFmtId="2" fontId="54" fillId="9" borderId="8" xfId="0" applyNumberFormat="1" applyFont="1" applyFill="1" applyBorder="1" applyAlignment="1">
      <alignment wrapText="1"/>
    </xf>
    <xf numFmtId="1" fontId="41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4" fillId="2" borderId="0" xfId="0" applyFont="1" applyFill="1" applyAlignment="1">
      <alignment/>
    </xf>
    <xf numFmtId="1" fontId="13" fillId="4" borderId="6" xfId="0" applyNumberFormat="1" applyFont="1" applyFill="1" applyBorder="1" applyAlignment="1">
      <alignment horizontal="center" wrapText="1"/>
    </xf>
    <xf numFmtId="1" fontId="52" fillId="4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6" borderId="1" xfId="19" applyFont="1" applyFill="1" applyBorder="1">
      <alignment/>
      <protection/>
    </xf>
    <xf numFmtId="0" fontId="5" fillId="6" borderId="2" xfId="19" applyFont="1" applyFill="1" applyBorder="1">
      <alignment/>
      <protection/>
    </xf>
    <xf numFmtId="0" fontId="22" fillId="9" borderId="2" xfId="19" applyFont="1" applyFill="1" applyBorder="1">
      <alignment/>
      <protection/>
    </xf>
    <xf numFmtId="0" fontId="46" fillId="8" borderId="2" xfId="19" applyFont="1" applyFill="1" applyBorder="1">
      <alignment/>
      <protection/>
    </xf>
    <xf numFmtId="0" fontId="46" fillId="6" borderId="2" xfId="19" applyFont="1" applyFill="1" applyBorder="1">
      <alignment/>
      <protection/>
    </xf>
    <xf numFmtId="0" fontId="2" fillId="8" borderId="2" xfId="0" applyFont="1" applyFill="1" applyBorder="1" applyAlignment="1">
      <alignment/>
    </xf>
    <xf numFmtId="0" fontId="2" fillId="4" borderId="9" xfId="19" applyFont="1" applyFill="1" applyBorder="1">
      <alignment/>
      <protection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6" fillId="7" borderId="2" xfId="19" applyFont="1" applyFill="1" applyBorder="1">
      <alignment/>
      <protection/>
    </xf>
    <xf numFmtId="0" fontId="2" fillId="8" borderId="3" xfId="0" applyFont="1" applyFill="1" applyBorder="1" applyAlignment="1">
      <alignment/>
    </xf>
    <xf numFmtId="0" fontId="30" fillId="8" borderId="3" xfId="0" applyFont="1" applyFill="1" applyBorder="1" applyAlignment="1">
      <alignment horizontal="right"/>
    </xf>
    <xf numFmtId="0" fontId="37" fillId="8" borderId="3" xfId="0" applyNumberFormat="1" applyFont="1" applyFill="1" applyBorder="1" applyAlignment="1">
      <alignment wrapText="1"/>
    </xf>
    <xf numFmtId="2" fontId="37" fillId="8" borderId="3" xfId="0" applyNumberFormat="1" applyFont="1" applyFill="1" applyBorder="1" applyAlignment="1">
      <alignment horizontal="right"/>
    </xf>
    <xf numFmtId="2" fontId="38" fillId="8" borderId="3" xfId="0" applyNumberFormat="1" applyFont="1" applyFill="1" applyBorder="1" applyAlignment="1">
      <alignment horizontal="right"/>
    </xf>
    <xf numFmtId="2" fontId="30" fillId="8" borderId="3" xfId="0" applyNumberFormat="1" applyFont="1" applyFill="1" applyBorder="1" applyAlignment="1">
      <alignment horizontal="right"/>
    </xf>
    <xf numFmtId="2" fontId="0" fillId="8" borderId="3" xfId="0" applyNumberFormat="1" applyFont="1" applyFill="1" applyBorder="1" applyAlignment="1">
      <alignment/>
    </xf>
    <xf numFmtId="1" fontId="37" fillId="8" borderId="3" xfId="0" applyNumberFormat="1" applyFont="1" applyFill="1" applyBorder="1" applyAlignment="1">
      <alignment horizontal="right"/>
    </xf>
    <xf numFmtId="1" fontId="35" fillId="8" borderId="3" xfId="0" applyNumberFormat="1" applyFont="1" applyFill="1" applyBorder="1" applyAlignment="1">
      <alignment horizontal="right"/>
    </xf>
    <xf numFmtId="2" fontId="37" fillId="8" borderId="3" xfId="0" applyNumberFormat="1" applyFont="1" applyFill="1" applyBorder="1" applyAlignment="1">
      <alignment horizontal="right"/>
    </xf>
    <xf numFmtId="1" fontId="0" fillId="8" borderId="3" xfId="0" applyNumberFormat="1" applyFont="1" applyFill="1" applyBorder="1" applyAlignment="1">
      <alignment/>
    </xf>
    <xf numFmtId="1" fontId="30" fillId="8" borderId="3" xfId="0" applyNumberFormat="1" applyFont="1" applyFill="1" applyBorder="1" applyAlignment="1">
      <alignment horizontal="right"/>
    </xf>
    <xf numFmtId="2" fontId="52" fillId="8" borderId="7" xfId="0" applyNumberFormat="1" applyFont="1" applyFill="1" applyBorder="1" applyAlignment="1">
      <alignment horizontal="right"/>
    </xf>
    <xf numFmtId="2" fontId="52" fillId="8" borderId="2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wrapText="1"/>
    </xf>
    <xf numFmtId="1" fontId="2" fillId="2" borderId="0" xfId="0" applyNumberFormat="1" applyFont="1" applyFill="1" applyAlignment="1">
      <alignment/>
    </xf>
    <xf numFmtId="1" fontId="21" fillId="6" borderId="1" xfId="0" applyNumberFormat="1" applyFont="1" applyFill="1" applyBorder="1" applyAlignment="1">
      <alignment horizontal="right"/>
    </xf>
    <xf numFmtId="1" fontId="21" fillId="7" borderId="1" xfId="0" applyNumberFormat="1" applyFont="1" applyFill="1" applyBorder="1" applyAlignment="1">
      <alignment horizontal="right"/>
    </xf>
    <xf numFmtId="1" fontId="21" fillId="9" borderId="1" xfId="0" applyNumberFormat="1" applyFont="1" applyFill="1" applyBorder="1" applyAlignment="1">
      <alignment horizontal="right"/>
    </xf>
    <xf numFmtId="1" fontId="21" fillId="8" borderId="1" xfId="0" applyNumberFormat="1" applyFont="1" applyFill="1" applyBorder="1" applyAlignment="1">
      <alignment horizontal="right"/>
    </xf>
    <xf numFmtId="1" fontId="21" fillId="10" borderId="1" xfId="0" applyNumberFormat="1" applyFont="1" applyFill="1" applyBorder="1" applyAlignment="1">
      <alignment horizontal="right"/>
    </xf>
    <xf numFmtId="1" fontId="21" fillId="8" borderId="2" xfId="0" applyNumberFormat="1" applyFont="1" applyFill="1" applyBorder="1" applyAlignment="1">
      <alignment horizontal="right"/>
    </xf>
    <xf numFmtId="1" fontId="21" fillId="8" borderId="7" xfId="0" applyNumberFormat="1" applyFont="1" applyFill="1" applyBorder="1" applyAlignment="1">
      <alignment horizontal="right"/>
    </xf>
    <xf numFmtId="1" fontId="1" fillId="4" borderId="8" xfId="0" applyNumberFormat="1" applyFont="1" applyFill="1" applyBorder="1" applyAlignment="1">
      <alignment wrapText="1"/>
    </xf>
    <xf numFmtId="1" fontId="11" fillId="2" borderId="0" xfId="0" applyNumberFormat="1" applyFont="1" applyFill="1" applyAlignment="1">
      <alignment/>
    </xf>
    <xf numFmtId="1" fontId="24" fillId="11" borderId="8" xfId="0" applyNumberFormat="1" applyFont="1" applyFill="1" applyBorder="1" applyAlignment="1">
      <alignment wrapText="1"/>
    </xf>
    <xf numFmtId="1" fontId="30" fillId="11" borderId="1" xfId="0" applyNumberFormat="1" applyFont="1" applyFill="1" applyBorder="1" applyAlignment="1">
      <alignment horizontal="right"/>
    </xf>
    <xf numFmtId="2" fontId="35" fillId="9" borderId="1" xfId="0" applyNumberFormat="1" applyFont="1" applyFill="1" applyBorder="1" applyAlignment="1">
      <alignment horizontal="right"/>
    </xf>
    <xf numFmtId="0" fontId="5" fillId="9" borderId="2" xfId="19" applyFont="1" applyFill="1" applyBorder="1">
      <alignment/>
      <protection/>
    </xf>
    <xf numFmtId="2" fontId="23" fillId="9" borderId="6" xfId="0" applyNumberFormat="1" applyFont="1" applyFill="1" applyBorder="1" applyAlignment="1">
      <alignment horizontal="center" textRotation="90" wrapText="1"/>
    </xf>
    <xf numFmtId="2" fontId="0" fillId="9" borderId="0" xfId="0" applyNumberFormat="1" applyFont="1" applyFill="1" applyAlignment="1">
      <alignment/>
    </xf>
    <xf numFmtId="2" fontId="13" fillId="9" borderId="6" xfId="0" applyNumberFormat="1" applyFont="1" applyFill="1" applyBorder="1" applyAlignment="1">
      <alignment horizontal="center" wrapText="1"/>
    </xf>
    <xf numFmtId="2" fontId="57" fillId="8" borderId="1" xfId="0" applyNumberFormat="1" applyFont="1" applyFill="1" applyBorder="1" applyAlignment="1">
      <alignment horizontal="right"/>
    </xf>
    <xf numFmtId="2" fontId="3" fillId="8" borderId="6" xfId="0" applyNumberFormat="1" applyFont="1" applyFill="1" applyBorder="1" applyAlignment="1">
      <alignment horizontal="center" textRotation="90" wrapText="1"/>
    </xf>
    <xf numFmtId="1" fontId="2" fillId="11" borderId="6" xfId="0" applyNumberFormat="1" applyFont="1" applyFill="1" applyBorder="1" applyAlignment="1">
      <alignment horizontal="center" wrapText="1"/>
    </xf>
    <xf numFmtId="2" fontId="39" fillId="9" borderId="1" xfId="0" applyNumberFormat="1" applyFont="1" applyFill="1" applyBorder="1" applyAlignment="1">
      <alignment horizontal="right"/>
    </xf>
    <xf numFmtId="2" fontId="39" fillId="3" borderId="1" xfId="0" applyNumberFormat="1" applyFont="1" applyFill="1" applyBorder="1" applyAlignment="1">
      <alignment horizontal="right"/>
    </xf>
    <xf numFmtId="2" fontId="37" fillId="8" borderId="7" xfId="0" applyNumberFormat="1" applyFont="1" applyFill="1" applyBorder="1" applyAlignment="1">
      <alignment horizontal="right"/>
    </xf>
    <xf numFmtId="2" fontId="53" fillId="9" borderId="6" xfId="0" applyNumberFormat="1" applyFont="1" applyFill="1" applyBorder="1" applyAlignment="1">
      <alignment horizontal="center" wrapText="1"/>
    </xf>
    <xf numFmtId="2" fontId="3" fillId="9" borderId="8" xfId="0" applyNumberFormat="1" applyFont="1" applyFill="1" applyBorder="1" applyAlignment="1">
      <alignment wrapText="1"/>
    </xf>
    <xf numFmtId="2" fontId="14" fillId="9" borderId="0" xfId="0" applyNumberFormat="1" applyFont="1" applyFill="1" applyAlignment="1">
      <alignment/>
    </xf>
    <xf numFmtId="0" fontId="1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43"/>
  <sheetViews>
    <sheetView workbookViewId="0" topLeftCell="A1">
      <pane ySplit="4" topLeftCell="BM5" activePane="bottomLeft" state="frozen"/>
      <selection pane="topLeft" activeCell="A1" sqref="A1"/>
      <selection pane="bottomLeft" activeCell="AG9" sqref="AG9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3.28125" style="0" customWidth="1"/>
    <col min="4" max="4" width="3.421875" style="0" customWidth="1"/>
    <col min="5" max="5" width="3.7109375" style="0" customWidth="1"/>
    <col min="6" max="6" width="8.140625" style="13" hidden="1" customWidth="1"/>
    <col min="7" max="7" width="8.00390625" style="11" hidden="1" customWidth="1"/>
    <col min="8" max="8" width="8.28125" style="11" hidden="1" customWidth="1"/>
    <col min="9" max="9" width="8.140625" style="11" hidden="1" customWidth="1"/>
    <col min="10" max="10" width="8.00390625" style="38" hidden="1" customWidth="1"/>
    <col min="11" max="11" width="8.00390625" style="84" hidden="1" customWidth="1"/>
    <col min="12" max="12" width="7.421875" style="85" hidden="1" customWidth="1"/>
    <col min="13" max="13" width="8.8515625" style="85" hidden="1" customWidth="1"/>
    <col min="14" max="15" width="7.140625" style="85" hidden="1" customWidth="1"/>
    <col min="16" max="16" width="7.28125" style="85" hidden="1" customWidth="1"/>
    <col min="17" max="17" width="7.421875" style="85" hidden="1" customWidth="1"/>
    <col min="18" max="19" width="7.28125" style="85" hidden="1" customWidth="1"/>
    <col min="20" max="20" width="8.57421875" style="85" hidden="1" customWidth="1"/>
    <col min="21" max="23" width="8.421875" style="85" hidden="1" customWidth="1"/>
    <col min="24" max="25" width="7.421875" style="88" customWidth="1"/>
    <col min="26" max="28" width="8.421875" style="85" customWidth="1"/>
    <col min="29" max="31" width="9.421875" style="85" customWidth="1"/>
    <col min="32" max="32" width="10.00390625" style="85" customWidth="1"/>
    <col min="33" max="36" width="9.00390625" style="85" customWidth="1"/>
    <col min="37" max="37" width="6.8515625" style="85" customWidth="1"/>
    <col min="38" max="39" width="6.57421875" style="85" customWidth="1"/>
    <col min="40" max="40" width="6.00390625" style="85" customWidth="1"/>
    <col min="41" max="41" width="6.421875" style="85" customWidth="1"/>
    <col min="42" max="42" width="6.57421875" style="85" customWidth="1"/>
    <col min="43" max="43" width="6.28125" style="85" customWidth="1"/>
    <col min="44" max="44" width="7.7109375" style="85" customWidth="1"/>
    <col min="45" max="47" width="8.421875" style="85" customWidth="1"/>
    <col min="48" max="48" width="4.8515625" style="24" customWidth="1"/>
    <col min="49" max="49" width="8.7109375" style="24" customWidth="1"/>
    <col min="50" max="50" width="5.28125" style="24" customWidth="1"/>
    <col min="51" max="51" width="4.28125" style="24" customWidth="1"/>
    <col min="52" max="52" width="4.28125" style="23" customWidth="1"/>
    <col min="53" max="53" width="18.8515625" style="41" customWidth="1"/>
  </cols>
  <sheetData>
    <row r="3" ht="6" customHeight="1" thickBot="1"/>
    <row r="4" spans="1:53" s="81" customFormat="1" ht="82.5" customHeight="1" thickBot="1">
      <c r="A4" s="70" t="s">
        <v>26</v>
      </c>
      <c r="B4" s="71" t="s">
        <v>27</v>
      </c>
      <c r="C4" s="72" t="s">
        <v>28</v>
      </c>
      <c r="D4" s="73"/>
      <c r="E4" s="73"/>
      <c r="F4" s="35" t="s">
        <v>54</v>
      </c>
      <c r="G4" s="74" t="s">
        <v>48</v>
      </c>
      <c r="H4" s="74" t="s">
        <v>51</v>
      </c>
      <c r="I4" s="74" t="s">
        <v>49</v>
      </c>
      <c r="J4" s="74" t="s">
        <v>50</v>
      </c>
      <c r="K4" s="75" t="s">
        <v>70</v>
      </c>
      <c r="L4" s="76" t="s">
        <v>62</v>
      </c>
      <c r="M4" s="75" t="s">
        <v>66</v>
      </c>
      <c r="N4" s="76" t="s">
        <v>56</v>
      </c>
      <c r="O4" s="76" t="s">
        <v>57</v>
      </c>
      <c r="P4" s="76" t="s">
        <v>58</v>
      </c>
      <c r="Q4" s="76" t="s">
        <v>59</v>
      </c>
      <c r="R4" s="76" t="s">
        <v>60</v>
      </c>
      <c r="S4" s="76" t="s">
        <v>61</v>
      </c>
      <c r="T4" s="76" t="s">
        <v>61</v>
      </c>
      <c r="U4" s="76" t="s">
        <v>67</v>
      </c>
      <c r="V4" s="76"/>
      <c r="W4" s="76"/>
      <c r="X4" s="76" t="s">
        <v>76</v>
      </c>
      <c r="Y4" s="76" t="s">
        <v>75</v>
      </c>
      <c r="Z4" s="82">
        <v>41306</v>
      </c>
      <c r="AA4" s="76" t="s">
        <v>74</v>
      </c>
      <c r="AB4" s="82">
        <v>41334</v>
      </c>
      <c r="AC4" s="93" t="s">
        <v>73</v>
      </c>
      <c r="AD4" s="93" t="s">
        <v>77</v>
      </c>
      <c r="AE4" s="93" t="s">
        <v>79</v>
      </c>
      <c r="AF4" s="93" t="s">
        <v>80</v>
      </c>
      <c r="AG4" s="93" t="s">
        <v>81</v>
      </c>
      <c r="AH4" s="93"/>
      <c r="AI4" s="93"/>
      <c r="AJ4" s="93"/>
      <c r="AK4" s="82">
        <v>41365</v>
      </c>
      <c r="AL4" s="82">
        <v>41395</v>
      </c>
      <c r="AM4" s="82">
        <v>41426</v>
      </c>
      <c r="AN4" s="82">
        <v>41456</v>
      </c>
      <c r="AO4" s="82">
        <v>41487</v>
      </c>
      <c r="AP4" s="82">
        <v>41518</v>
      </c>
      <c r="AQ4" s="82">
        <v>41548</v>
      </c>
      <c r="AR4" s="82" t="s">
        <v>78</v>
      </c>
      <c r="AS4" s="82">
        <v>41609</v>
      </c>
      <c r="AT4" s="82" t="s">
        <v>71</v>
      </c>
      <c r="AU4" s="82" t="s">
        <v>72</v>
      </c>
      <c r="AV4" s="77" t="s">
        <v>33</v>
      </c>
      <c r="AW4" s="77" t="s">
        <v>34</v>
      </c>
      <c r="AX4" s="78" t="s">
        <v>69</v>
      </c>
      <c r="AY4" s="78" t="s">
        <v>35</v>
      </c>
      <c r="AZ4" s="79" t="s">
        <v>36</v>
      </c>
      <c r="BA4" s="80"/>
    </row>
    <row r="5" spans="1:52" ht="13.5" customHeight="1">
      <c r="A5" s="1">
        <v>1</v>
      </c>
      <c r="B5" s="48" t="s">
        <v>63</v>
      </c>
      <c r="C5" s="33" t="s">
        <v>30</v>
      </c>
      <c r="D5" s="3">
        <v>0.8</v>
      </c>
      <c r="E5" s="3">
        <v>1.5</v>
      </c>
      <c r="F5" s="12">
        <v>15296.875</v>
      </c>
      <c r="G5" s="4">
        <f aca="true" t="shared" si="0" ref="G5:G35">ROUND(F5*D5,2)</f>
        <v>12237.5</v>
      </c>
      <c r="H5" s="4">
        <f aca="true" t="shared" si="1" ref="H5:H35">ROUND(G5*AX5/AX5,2)</f>
        <v>12237.5</v>
      </c>
      <c r="I5" s="4">
        <f aca="true" t="shared" si="2" ref="I5:I35">ROUND(H5*E5,2)</f>
        <v>18356.25</v>
      </c>
      <c r="J5" s="36">
        <f aca="true" t="shared" si="3" ref="J5:J34">ROUND(I5*489500/523153.22,2)</f>
        <v>17175.44</v>
      </c>
      <c r="K5" s="39">
        <f aca="true" t="shared" si="4" ref="K5:K34">ROUND(J5,0)</f>
        <v>17175</v>
      </c>
      <c r="L5" s="44">
        <v>1400</v>
      </c>
      <c r="M5" s="39">
        <v>8936</v>
      </c>
      <c r="N5" s="44">
        <f aca="true" t="shared" si="5" ref="N5:N35">ROUND(M5/6,0)</f>
        <v>1489</v>
      </c>
      <c r="O5" s="44">
        <f aca="true" t="shared" si="6" ref="O5:O35">ROUND(M5/6,0)</f>
        <v>1489</v>
      </c>
      <c r="P5" s="44">
        <f aca="true" t="shared" si="7" ref="P5:P35">ROUND(M5/6,0)</f>
        <v>1489</v>
      </c>
      <c r="Q5" s="44">
        <f aca="true" t="shared" si="8" ref="Q5:Q35">ROUND(M5/6,0)</f>
        <v>1489</v>
      </c>
      <c r="R5" s="44">
        <f aca="true" t="shared" si="9" ref="R5:R35">ROUND(M5/6,0)</f>
        <v>1489</v>
      </c>
      <c r="S5" s="44"/>
      <c r="T5" s="44">
        <f aca="true" t="shared" si="10" ref="T5:T35">M5-N5-O5-P5-Q5-R5</f>
        <v>1491</v>
      </c>
      <c r="U5" s="44">
        <f aca="true" t="shared" si="11" ref="U5:U35">SUM(N5+O5+P5+Q5+R5+T5)</f>
        <v>8936</v>
      </c>
      <c r="V5" s="44"/>
      <c r="W5" s="44"/>
      <c r="X5" s="89">
        <v>1716</v>
      </c>
      <c r="Y5" s="89">
        <v>1710</v>
      </c>
      <c r="Z5" s="89">
        <v>1716</v>
      </c>
      <c r="AA5" s="89">
        <v>1680</v>
      </c>
      <c r="AB5" s="44">
        <v>541</v>
      </c>
      <c r="AC5" s="95">
        <f aca="true" t="shared" si="12" ref="AC5:AC35">X5+Z5+AB5</f>
        <v>3973</v>
      </c>
      <c r="AD5" s="95">
        <f aca="true" t="shared" si="13" ref="AD5:AD35">AC5-Y5-AA5</f>
        <v>583</v>
      </c>
      <c r="AE5" s="95">
        <v>576</v>
      </c>
      <c r="AF5" s="95">
        <f aca="true" t="shared" si="14" ref="AF5:AF35">AE5+AA5+Y5</f>
        <v>3966</v>
      </c>
      <c r="AG5" s="95">
        <f aca="true" t="shared" si="15" ref="AG5:AG35">AC5-AF5</f>
        <v>7</v>
      </c>
      <c r="AH5" s="83"/>
      <c r="AI5" s="83">
        <v>7</v>
      </c>
      <c r="AJ5" s="83">
        <v>0</v>
      </c>
      <c r="AK5" s="44"/>
      <c r="AL5" s="44"/>
      <c r="AM5" s="44"/>
      <c r="AN5" s="44"/>
      <c r="AO5" s="44"/>
      <c r="AP5" s="44"/>
      <c r="AQ5" s="44"/>
      <c r="AR5" s="44"/>
      <c r="AS5" s="44"/>
      <c r="AT5" s="91">
        <f aca="true" t="shared" si="16" ref="AT5:AT35">Z5+AB5+AK5+AL5+AM5+AN5+AO5+AP5+AQ5+AR5+AS5</f>
        <v>2257</v>
      </c>
      <c r="AU5" s="83">
        <f aca="true" t="shared" si="17" ref="AU5:AU35">X5+Z5+AB5+AK5+AL5+AM5+AN5+AO5+AP5+AQ5+AR5+AS5</f>
        <v>3973</v>
      </c>
      <c r="AV5" s="18"/>
      <c r="AW5" s="27" t="s">
        <v>39</v>
      </c>
      <c r="AX5" s="25">
        <v>3</v>
      </c>
      <c r="AY5" s="25">
        <v>34</v>
      </c>
      <c r="AZ5" s="26" t="s">
        <v>37</v>
      </c>
    </row>
    <row r="6" spans="1:52" ht="12.75">
      <c r="A6" s="1">
        <v>2</v>
      </c>
      <c r="B6" s="48" t="s">
        <v>0</v>
      </c>
      <c r="C6" s="2" t="s">
        <v>29</v>
      </c>
      <c r="D6" s="5">
        <v>1</v>
      </c>
      <c r="E6" s="5">
        <v>1</v>
      </c>
      <c r="F6" s="12">
        <v>15296.875</v>
      </c>
      <c r="G6" s="4">
        <f t="shared" si="0"/>
        <v>15296.88</v>
      </c>
      <c r="H6" s="4">
        <f t="shared" si="1"/>
        <v>15296.88</v>
      </c>
      <c r="I6" s="4">
        <f t="shared" si="2"/>
        <v>15296.88</v>
      </c>
      <c r="J6" s="36">
        <f t="shared" si="3"/>
        <v>14312.87</v>
      </c>
      <c r="K6" s="39">
        <f t="shared" si="4"/>
        <v>14313</v>
      </c>
      <c r="L6" s="44">
        <v>1200</v>
      </c>
      <c r="M6" s="39">
        <v>7446</v>
      </c>
      <c r="N6" s="44">
        <f t="shared" si="5"/>
        <v>1241</v>
      </c>
      <c r="O6" s="44">
        <f t="shared" si="6"/>
        <v>1241</v>
      </c>
      <c r="P6" s="44">
        <f t="shared" si="7"/>
        <v>1241</v>
      </c>
      <c r="Q6" s="44">
        <f t="shared" si="8"/>
        <v>1241</v>
      </c>
      <c r="R6" s="44">
        <f t="shared" si="9"/>
        <v>1241</v>
      </c>
      <c r="S6" s="44"/>
      <c r="T6" s="44">
        <f t="shared" si="10"/>
        <v>1241</v>
      </c>
      <c r="U6" s="44">
        <f t="shared" si="11"/>
        <v>7446</v>
      </c>
      <c r="V6" s="44"/>
      <c r="W6" s="44"/>
      <c r="X6" s="89">
        <v>1431</v>
      </c>
      <c r="Y6" s="89">
        <v>1434</v>
      </c>
      <c r="Z6" s="89">
        <v>1431</v>
      </c>
      <c r="AA6" s="89">
        <v>1422</v>
      </c>
      <c r="AB6" s="44">
        <v>452</v>
      </c>
      <c r="AC6" s="95">
        <f t="shared" si="12"/>
        <v>3314</v>
      </c>
      <c r="AD6" s="95">
        <f t="shared" si="13"/>
        <v>458</v>
      </c>
      <c r="AE6" s="95">
        <v>444</v>
      </c>
      <c r="AF6" s="95">
        <f t="shared" si="14"/>
        <v>3300</v>
      </c>
      <c r="AG6" s="95">
        <f t="shared" si="15"/>
        <v>14</v>
      </c>
      <c r="AH6" s="83"/>
      <c r="AI6" s="83">
        <v>14</v>
      </c>
      <c r="AJ6" s="83">
        <v>0</v>
      </c>
      <c r="AK6" s="44"/>
      <c r="AL6" s="44"/>
      <c r="AM6" s="44"/>
      <c r="AN6" s="44"/>
      <c r="AO6" s="44"/>
      <c r="AP6" s="44"/>
      <c r="AQ6" s="44"/>
      <c r="AR6" s="44"/>
      <c r="AS6" s="44"/>
      <c r="AT6" s="91">
        <f t="shared" si="16"/>
        <v>1883</v>
      </c>
      <c r="AU6" s="83">
        <f t="shared" si="17"/>
        <v>3314</v>
      </c>
      <c r="AV6" s="26" t="s">
        <v>33</v>
      </c>
      <c r="AW6" s="16"/>
      <c r="AX6" s="25">
        <v>3</v>
      </c>
      <c r="AY6" s="25">
        <v>34</v>
      </c>
      <c r="AZ6" s="26" t="s">
        <v>37</v>
      </c>
    </row>
    <row r="7" spans="1:53" ht="12.75">
      <c r="A7" s="1">
        <v>3</v>
      </c>
      <c r="B7" s="48" t="s">
        <v>1</v>
      </c>
      <c r="C7" s="6" t="s">
        <v>31</v>
      </c>
      <c r="D7" s="7">
        <v>1.2</v>
      </c>
      <c r="E7" s="5">
        <v>1</v>
      </c>
      <c r="F7" s="12">
        <v>15296.875</v>
      </c>
      <c r="G7" s="4">
        <f t="shared" si="0"/>
        <v>18356.25</v>
      </c>
      <c r="H7" s="4">
        <f t="shared" si="1"/>
        <v>18356.25</v>
      </c>
      <c r="I7" s="4">
        <f t="shared" si="2"/>
        <v>18356.25</v>
      </c>
      <c r="J7" s="36">
        <f t="shared" si="3"/>
        <v>17175.44</v>
      </c>
      <c r="K7" s="39">
        <f t="shared" si="4"/>
        <v>17175</v>
      </c>
      <c r="L7" s="44">
        <v>1500</v>
      </c>
      <c r="M7" s="39">
        <v>9199</v>
      </c>
      <c r="N7" s="44">
        <f t="shared" si="5"/>
        <v>1533</v>
      </c>
      <c r="O7" s="44">
        <f t="shared" si="6"/>
        <v>1533</v>
      </c>
      <c r="P7" s="44">
        <f t="shared" si="7"/>
        <v>1533</v>
      </c>
      <c r="Q7" s="44">
        <f t="shared" si="8"/>
        <v>1533</v>
      </c>
      <c r="R7" s="44">
        <f t="shared" si="9"/>
        <v>1533</v>
      </c>
      <c r="S7" s="44"/>
      <c r="T7" s="44">
        <f t="shared" si="10"/>
        <v>1534</v>
      </c>
      <c r="U7" s="44">
        <f t="shared" si="11"/>
        <v>9199</v>
      </c>
      <c r="V7" s="44"/>
      <c r="W7" s="44"/>
      <c r="X7" s="89">
        <v>1717</v>
      </c>
      <c r="Y7" s="89">
        <v>1746</v>
      </c>
      <c r="Z7" s="89">
        <v>1717</v>
      </c>
      <c r="AA7" s="89">
        <v>1620</v>
      </c>
      <c r="AB7" s="83">
        <v>542</v>
      </c>
      <c r="AC7" s="95">
        <f t="shared" si="12"/>
        <v>3976</v>
      </c>
      <c r="AD7" s="95">
        <f t="shared" si="13"/>
        <v>610</v>
      </c>
      <c r="AE7" s="95">
        <v>600</v>
      </c>
      <c r="AF7" s="95">
        <f t="shared" si="14"/>
        <v>3966</v>
      </c>
      <c r="AG7" s="95">
        <f t="shared" si="15"/>
        <v>10</v>
      </c>
      <c r="AH7" s="83"/>
      <c r="AI7" s="83">
        <v>10</v>
      </c>
      <c r="AJ7" s="83">
        <v>0</v>
      </c>
      <c r="AK7" s="44"/>
      <c r="AL7" s="44"/>
      <c r="AM7" s="44"/>
      <c r="AN7" s="44"/>
      <c r="AO7" s="44"/>
      <c r="AP7" s="44"/>
      <c r="AQ7" s="44"/>
      <c r="AR7" s="44"/>
      <c r="AS7" s="44"/>
      <c r="AT7" s="91">
        <f t="shared" si="16"/>
        <v>2259</v>
      </c>
      <c r="AU7" s="83">
        <f t="shared" si="17"/>
        <v>3976</v>
      </c>
      <c r="AV7" s="18" t="s">
        <v>33</v>
      </c>
      <c r="AW7" s="16"/>
      <c r="AX7" s="25">
        <v>3</v>
      </c>
      <c r="AY7" s="28">
        <v>35</v>
      </c>
      <c r="AZ7" s="29" t="s">
        <v>38</v>
      </c>
      <c r="BA7" s="41" t="s">
        <v>52</v>
      </c>
    </row>
    <row r="8" spans="1:52" ht="12.75">
      <c r="A8" s="1">
        <v>4</v>
      </c>
      <c r="B8" s="48" t="s">
        <v>2</v>
      </c>
      <c r="C8" s="2" t="s">
        <v>29</v>
      </c>
      <c r="D8" s="5">
        <v>1</v>
      </c>
      <c r="E8" s="5">
        <v>1</v>
      </c>
      <c r="F8" s="12">
        <v>15296.875</v>
      </c>
      <c r="G8" s="4">
        <f t="shared" si="0"/>
        <v>15296.88</v>
      </c>
      <c r="H8" s="4">
        <f t="shared" si="1"/>
        <v>15296.88</v>
      </c>
      <c r="I8" s="4">
        <f t="shared" si="2"/>
        <v>15296.88</v>
      </c>
      <c r="J8" s="36">
        <f t="shared" si="3"/>
        <v>14312.87</v>
      </c>
      <c r="K8" s="39">
        <f t="shared" si="4"/>
        <v>14313</v>
      </c>
      <c r="L8" s="44">
        <v>1200</v>
      </c>
      <c r="M8" s="39">
        <v>7446</v>
      </c>
      <c r="N8" s="44">
        <f t="shared" si="5"/>
        <v>1241</v>
      </c>
      <c r="O8" s="44">
        <f t="shared" si="6"/>
        <v>1241</v>
      </c>
      <c r="P8" s="44">
        <f t="shared" si="7"/>
        <v>1241</v>
      </c>
      <c r="Q8" s="44">
        <f t="shared" si="8"/>
        <v>1241</v>
      </c>
      <c r="R8" s="44">
        <f t="shared" si="9"/>
        <v>1241</v>
      </c>
      <c r="S8" s="44"/>
      <c r="T8" s="44">
        <f t="shared" si="10"/>
        <v>1241</v>
      </c>
      <c r="U8" s="44">
        <f t="shared" si="11"/>
        <v>7446</v>
      </c>
      <c r="V8" s="44"/>
      <c r="W8" s="44"/>
      <c r="X8" s="89">
        <v>1431</v>
      </c>
      <c r="Y8" s="89">
        <v>1456.8</v>
      </c>
      <c r="Z8" s="89">
        <v>1431</v>
      </c>
      <c r="AA8" s="89">
        <v>1397.4</v>
      </c>
      <c r="AB8" s="44">
        <v>452</v>
      </c>
      <c r="AC8" s="95">
        <f t="shared" si="12"/>
        <v>3314</v>
      </c>
      <c r="AD8" s="95">
        <f t="shared" si="13"/>
        <v>459.79999999999995</v>
      </c>
      <c r="AE8" s="95">
        <v>459</v>
      </c>
      <c r="AF8" s="95">
        <f t="shared" si="14"/>
        <v>3313.2</v>
      </c>
      <c r="AG8" s="95">
        <f t="shared" si="15"/>
        <v>0.8000000000001819</v>
      </c>
      <c r="AH8" s="98">
        <v>3313.2</v>
      </c>
      <c r="AI8" s="98">
        <v>0.8</v>
      </c>
      <c r="AJ8" s="98">
        <v>73.37</v>
      </c>
      <c r="AK8" s="44"/>
      <c r="AL8" s="44"/>
      <c r="AM8" s="44"/>
      <c r="AN8" s="44"/>
      <c r="AO8" s="44"/>
      <c r="AP8" s="44"/>
      <c r="AQ8" s="44"/>
      <c r="AR8" s="44"/>
      <c r="AS8" s="44"/>
      <c r="AT8" s="91">
        <f t="shared" si="16"/>
        <v>1883</v>
      </c>
      <c r="AU8" s="83">
        <f t="shared" si="17"/>
        <v>3314</v>
      </c>
      <c r="AV8" s="18" t="s">
        <v>33</v>
      </c>
      <c r="AW8" s="16"/>
      <c r="AX8" s="25">
        <v>3</v>
      </c>
      <c r="AY8" s="28">
        <v>34</v>
      </c>
      <c r="AZ8" s="29" t="s">
        <v>37</v>
      </c>
    </row>
    <row r="9" spans="1:53" ht="12.75">
      <c r="A9" s="1">
        <v>5</v>
      </c>
      <c r="B9" s="48" t="s">
        <v>3</v>
      </c>
      <c r="C9" s="2" t="s">
        <v>29</v>
      </c>
      <c r="D9" s="5">
        <v>1</v>
      </c>
      <c r="E9" s="5">
        <v>1</v>
      </c>
      <c r="F9" s="12">
        <v>15296.875</v>
      </c>
      <c r="G9" s="4">
        <f t="shared" si="0"/>
        <v>15296.88</v>
      </c>
      <c r="H9" s="4">
        <f t="shared" si="1"/>
        <v>15296.88</v>
      </c>
      <c r="I9" s="4">
        <f t="shared" si="2"/>
        <v>15296.88</v>
      </c>
      <c r="J9" s="36">
        <f t="shared" si="3"/>
        <v>14312.87</v>
      </c>
      <c r="K9" s="39">
        <f t="shared" si="4"/>
        <v>14313</v>
      </c>
      <c r="L9" s="44">
        <v>1600</v>
      </c>
      <c r="M9" s="39">
        <v>7665</v>
      </c>
      <c r="N9" s="44">
        <f t="shared" si="5"/>
        <v>1278</v>
      </c>
      <c r="O9" s="44">
        <f t="shared" si="6"/>
        <v>1278</v>
      </c>
      <c r="P9" s="44">
        <f t="shared" si="7"/>
        <v>1278</v>
      </c>
      <c r="Q9" s="44">
        <f t="shared" si="8"/>
        <v>1278</v>
      </c>
      <c r="R9" s="44">
        <f t="shared" si="9"/>
        <v>1278</v>
      </c>
      <c r="S9" s="44"/>
      <c r="T9" s="44">
        <f t="shared" si="10"/>
        <v>1275</v>
      </c>
      <c r="U9" s="44">
        <f t="shared" si="11"/>
        <v>7665</v>
      </c>
      <c r="V9" s="44"/>
      <c r="W9" s="44"/>
      <c r="X9" s="89">
        <v>1431</v>
      </c>
      <c r="Y9" s="89">
        <v>1387.2</v>
      </c>
      <c r="Z9" s="89">
        <v>1431</v>
      </c>
      <c r="AA9" s="89">
        <v>1378.8</v>
      </c>
      <c r="AB9" s="44">
        <v>452</v>
      </c>
      <c r="AC9" s="95">
        <f t="shared" si="12"/>
        <v>3314</v>
      </c>
      <c r="AD9" s="95">
        <f t="shared" si="13"/>
        <v>548</v>
      </c>
      <c r="AE9" s="95">
        <v>534.6</v>
      </c>
      <c r="AF9" s="95">
        <f t="shared" si="14"/>
        <v>3300.6000000000004</v>
      </c>
      <c r="AG9" s="95">
        <f t="shared" si="15"/>
        <v>13.399999999999636</v>
      </c>
      <c r="AH9" s="83"/>
      <c r="AI9" s="83">
        <v>13.4</v>
      </c>
      <c r="AJ9" s="83">
        <v>0</v>
      </c>
      <c r="AK9" s="44"/>
      <c r="AL9" s="44"/>
      <c r="AM9" s="44"/>
      <c r="AN9" s="44"/>
      <c r="AO9" s="44"/>
      <c r="AP9" s="44"/>
      <c r="AQ9" s="44"/>
      <c r="AR9" s="44"/>
      <c r="AS9" s="44"/>
      <c r="AT9" s="91">
        <f t="shared" si="16"/>
        <v>1883</v>
      </c>
      <c r="AU9" s="83">
        <f t="shared" si="17"/>
        <v>3314</v>
      </c>
      <c r="AV9" s="26" t="s">
        <v>33</v>
      </c>
      <c r="AW9" s="16"/>
      <c r="AX9" s="25">
        <v>3</v>
      </c>
      <c r="AY9" s="25">
        <v>35</v>
      </c>
      <c r="AZ9" s="26" t="s">
        <v>38</v>
      </c>
      <c r="BA9" s="41" t="s">
        <v>52</v>
      </c>
    </row>
    <row r="10" spans="1:52" ht="12.75">
      <c r="A10" s="1">
        <v>6</v>
      </c>
      <c r="B10" s="48" t="s">
        <v>68</v>
      </c>
      <c r="C10" s="2" t="s">
        <v>29</v>
      </c>
      <c r="D10" s="5">
        <v>1</v>
      </c>
      <c r="E10" s="5">
        <v>1</v>
      </c>
      <c r="F10" s="12">
        <v>15296.875</v>
      </c>
      <c r="G10" s="4">
        <f t="shared" si="0"/>
        <v>15296.88</v>
      </c>
      <c r="H10" s="4">
        <f t="shared" si="1"/>
        <v>15296.88</v>
      </c>
      <c r="I10" s="4">
        <f t="shared" si="2"/>
        <v>15296.88</v>
      </c>
      <c r="J10" s="36">
        <f t="shared" si="3"/>
        <v>14312.87</v>
      </c>
      <c r="K10" s="39">
        <f t="shared" si="4"/>
        <v>14313</v>
      </c>
      <c r="L10" s="44">
        <v>1200</v>
      </c>
      <c r="M10" s="39">
        <v>7665</v>
      </c>
      <c r="N10" s="44">
        <f t="shared" si="5"/>
        <v>1278</v>
      </c>
      <c r="O10" s="44">
        <f t="shared" si="6"/>
        <v>1278</v>
      </c>
      <c r="P10" s="44">
        <f t="shared" si="7"/>
        <v>1278</v>
      </c>
      <c r="Q10" s="44">
        <f t="shared" si="8"/>
        <v>1278</v>
      </c>
      <c r="R10" s="44">
        <f t="shared" si="9"/>
        <v>1278</v>
      </c>
      <c r="S10" s="44"/>
      <c r="T10" s="44">
        <f t="shared" si="10"/>
        <v>1275</v>
      </c>
      <c r="U10" s="44">
        <f t="shared" si="11"/>
        <v>7665</v>
      </c>
      <c r="V10" s="44"/>
      <c r="W10" s="44"/>
      <c r="X10" s="89">
        <v>1431</v>
      </c>
      <c r="Y10" s="89">
        <v>1418.4</v>
      </c>
      <c r="Z10" s="89">
        <v>1431</v>
      </c>
      <c r="AA10" s="89">
        <v>1429.2</v>
      </c>
      <c r="AB10" s="44">
        <v>452</v>
      </c>
      <c r="AC10" s="95">
        <f t="shared" si="12"/>
        <v>3314</v>
      </c>
      <c r="AD10" s="95">
        <f t="shared" si="13"/>
        <v>466.39999999999986</v>
      </c>
      <c r="AE10" s="95">
        <v>448.8</v>
      </c>
      <c r="AF10" s="95">
        <f t="shared" si="14"/>
        <v>3296.4</v>
      </c>
      <c r="AG10" s="95">
        <f t="shared" si="15"/>
        <v>17.59999999999991</v>
      </c>
      <c r="AH10" s="83"/>
      <c r="AI10" s="83">
        <v>17.6</v>
      </c>
      <c r="AJ10" s="83">
        <v>0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91">
        <f t="shared" si="16"/>
        <v>1883</v>
      </c>
      <c r="AU10" s="83">
        <f t="shared" si="17"/>
        <v>3314</v>
      </c>
      <c r="AV10" s="18" t="s">
        <v>33</v>
      </c>
      <c r="AW10" s="16"/>
      <c r="AX10" s="25">
        <v>3</v>
      </c>
      <c r="AY10" s="28">
        <v>35</v>
      </c>
      <c r="AZ10" s="19" t="s">
        <v>38</v>
      </c>
    </row>
    <row r="11" spans="1:53" ht="12.75">
      <c r="A11" s="1">
        <v>7</v>
      </c>
      <c r="B11" s="48" t="s">
        <v>4</v>
      </c>
      <c r="C11" s="2" t="s">
        <v>29</v>
      </c>
      <c r="D11" s="5">
        <v>1</v>
      </c>
      <c r="E11" s="5">
        <v>1</v>
      </c>
      <c r="F11" s="12">
        <v>15296.875</v>
      </c>
      <c r="G11" s="4">
        <f t="shared" si="0"/>
        <v>15296.88</v>
      </c>
      <c r="H11" s="4">
        <f t="shared" si="1"/>
        <v>15296.88</v>
      </c>
      <c r="I11" s="4">
        <f t="shared" si="2"/>
        <v>15296.88</v>
      </c>
      <c r="J11" s="36">
        <f t="shared" si="3"/>
        <v>14312.87</v>
      </c>
      <c r="K11" s="39">
        <f t="shared" si="4"/>
        <v>14313</v>
      </c>
      <c r="L11" s="44">
        <v>1400</v>
      </c>
      <c r="M11" s="39">
        <v>8761</v>
      </c>
      <c r="N11" s="44">
        <f t="shared" si="5"/>
        <v>1460</v>
      </c>
      <c r="O11" s="44">
        <f t="shared" si="6"/>
        <v>1460</v>
      </c>
      <c r="P11" s="44">
        <f t="shared" si="7"/>
        <v>1460</v>
      </c>
      <c r="Q11" s="44">
        <f t="shared" si="8"/>
        <v>1460</v>
      </c>
      <c r="R11" s="44">
        <f t="shared" si="9"/>
        <v>1460</v>
      </c>
      <c r="S11" s="44"/>
      <c r="T11" s="44">
        <f t="shared" si="10"/>
        <v>1461</v>
      </c>
      <c r="U11" s="44">
        <f t="shared" si="11"/>
        <v>8761</v>
      </c>
      <c r="V11" s="44"/>
      <c r="W11" s="44"/>
      <c r="X11" s="89">
        <v>1431</v>
      </c>
      <c r="Y11" s="89">
        <v>1432.8</v>
      </c>
      <c r="Z11" s="89">
        <v>1431</v>
      </c>
      <c r="AA11" s="89">
        <v>1411.8</v>
      </c>
      <c r="AB11" s="44">
        <v>452</v>
      </c>
      <c r="AC11" s="95">
        <f t="shared" si="12"/>
        <v>3314</v>
      </c>
      <c r="AD11" s="95">
        <f t="shared" si="13"/>
        <v>469.4000000000001</v>
      </c>
      <c r="AE11" s="95">
        <v>439.2</v>
      </c>
      <c r="AF11" s="95">
        <f t="shared" si="14"/>
        <v>3283.8</v>
      </c>
      <c r="AG11" s="95">
        <f t="shared" si="15"/>
        <v>30.199999999999818</v>
      </c>
      <c r="AH11" s="83"/>
      <c r="AI11" s="83">
        <v>30.2</v>
      </c>
      <c r="AJ11" s="83">
        <v>0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91">
        <f t="shared" si="16"/>
        <v>1883</v>
      </c>
      <c r="AU11" s="83">
        <f t="shared" si="17"/>
        <v>3314</v>
      </c>
      <c r="AV11" s="18" t="s">
        <v>33</v>
      </c>
      <c r="AW11" s="16"/>
      <c r="AX11" s="25">
        <v>3</v>
      </c>
      <c r="AY11" s="28">
        <v>40</v>
      </c>
      <c r="AZ11" s="19" t="s">
        <v>38</v>
      </c>
      <c r="BA11" s="41" t="s">
        <v>52</v>
      </c>
    </row>
    <row r="12" spans="1:52" ht="12.75">
      <c r="A12" s="1">
        <v>8</v>
      </c>
      <c r="B12" s="48" t="s">
        <v>5</v>
      </c>
      <c r="C12" s="2" t="s">
        <v>29</v>
      </c>
      <c r="D12" s="5">
        <v>1</v>
      </c>
      <c r="E12" s="5">
        <v>1</v>
      </c>
      <c r="F12" s="12">
        <v>15296.875</v>
      </c>
      <c r="G12" s="4">
        <f t="shared" si="0"/>
        <v>15296.88</v>
      </c>
      <c r="H12" s="4">
        <f t="shared" si="1"/>
        <v>15296.88</v>
      </c>
      <c r="I12" s="4">
        <f t="shared" si="2"/>
        <v>15296.88</v>
      </c>
      <c r="J12" s="36">
        <f t="shared" si="3"/>
        <v>14312.87</v>
      </c>
      <c r="K12" s="39">
        <f t="shared" si="4"/>
        <v>14313</v>
      </c>
      <c r="L12" s="44">
        <v>1200</v>
      </c>
      <c r="M12" s="39">
        <v>7446</v>
      </c>
      <c r="N12" s="44">
        <f t="shared" si="5"/>
        <v>1241</v>
      </c>
      <c r="O12" s="44">
        <f t="shared" si="6"/>
        <v>1241</v>
      </c>
      <c r="P12" s="44">
        <f t="shared" si="7"/>
        <v>1241</v>
      </c>
      <c r="Q12" s="44">
        <f t="shared" si="8"/>
        <v>1241</v>
      </c>
      <c r="R12" s="44">
        <f t="shared" si="9"/>
        <v>1241</v>
      </c>
      <c r="S12" s="44"/>
      <c r="T12" s="44">
        <f t="shared" si="10"/>
        <v>1241</v>
      </c>
      <c r="U12" s="44">
        <f t="shared" si="11"/>
        <v>7446</v>
      </c>
      <c r="V12" s="44"/>
      <c r="W12" s="44"/>
      <c r="X12" s="89">
        <v>1431</v>
      </c>
      <c r="Y12" s="89">
        <v>1461</v>
      </c>
      <c r="Z12" s="89">
        <v>1431</v>
      </c>
      <c r="AA12" s="89">
        <v>1389</v>
      </c>
      <c r="AB12" s="44">
        <v>452</v>
      </c>
      <c r="AC12" s="95">
        <f t="shared" si="12"/>
        <v>3314</v>
      </c>
      <c r="AD12" s="95">
        <f t="shared" si="13"/>
        <v>464</v>
      </c>
      <c r="AE12" s="95">
        <v>450</v>
      </c>
      <c r="AF12" s="95">
        <f t="shared" si="14"/>
        <v>3300</v>
      </c>
      <c r="AG12" s="95">
        <f t="shared" si="15"/>
        <v>14</v>
      </c>
      <c r="AH12" s="83"/>
      <c r="AI12" s="83">
        <v>14</v>
      </c>
      <c r="AJ12" s="83">
        <v>0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91">
        <f t="shared" si="16"/>
        <v>1883</v>
      </c>
      <c r="AU12" s="83">
        <f t="shared" si="17"/>
        <v>3314</v>
      </c>
      <c r="AV12" s="18" t="s">
        <v>33</v>
      </c>
      <c r="AW12" s="16"/>
      <c r="AX12" s="25">
        <v>3</v>
      </c>
      <c r="AY12" s="28">
        <v>34</v>
      </c>
      <c r="AZ12" s="18" t="s">
        <v>37</v>
      </c>
    </row>
    <row r="13" spans="1:52" ht="12.75">
      <c r="A13" s="1">
        <v>9</v>
      </c>
      <c r="B13" s="48" t="s">
        <v>6</v>
      </c>
      <c r="C13" s="33" t="s">
        <v>30</v>
      </c>
      <c r="D13" s="3">
        <v>0.8</v>
      </c>
      <c r="E13" s="3">
        <v>1.5</v>
      </c>
      <c r="F13" s="12">
        <v>15296.875</v>
      </c>
      <c r="G13" s="4">
        <f t="shared" si="0"/>
        <v>12237.5</v>
      </c>
      <c r="H13" s="4">
        <f t="shared" si="1"/>
        <v>12237.5</v>
      </c>
      <c r="I13" s="4">
        <f t="shared" si="2"/>
        <v>18356.25</v>
      </c>
      <c r="J13" s="36">
        <f t="shared" si="3"/>
        <v>17175.44</v>
      </c>
      <c r="K13" s="39">
        <f t="shared" si="4"/>
        <v>17175</v>
      </c>
      <c r="L13" s="44">
        <v>1400</v>
      </c>
      <c r="M13" s="39">
        <v>7884</v>
      </c>
      <c r="N13" s="44">
        <f t="shared" si="5"/>
        <v>1314</v>
      </c>
      <c r="O13" s="44">
        <f t="shared" si="6"/>
        <v>1314</v>
      </c>
      <c r="P13" s="44">
        <f t="shared" si="7"/>
        <v>1314</v>
      </c>
      <c r="Q13" s="44">
        <f t="shared" si="8"/>
        <v>1314</v>
      </c>
      <c r="R13" s="44">
        <f t="shared" si="9"/>
        <v>1314</v>
      </c>
      <c r="S13" s="44"/>
      <c r="T13" s="44">
        <f t="shared" si="10"/>
        <v>1314</v>
      </c>
      <c r="U13" s="44">
        <f t="shared" si="11"/>
        <v>7884</v>
      </c>
      <c r="V13" s="44"/>
      <c r="W13" s="44"/>
      <c r="X13" s="89">
        <v>1716</v>
      </c>
      <c r="Y13" s="89">
        <v>1734</v>
      </c>
      <c r="Z13" s="89">
        <v>1716</v>
      </c>
      <c r="AA13" s="89">
        <v>1695</v>
      </c>
      <c r="AB13" s="44">
        <v>541</v>
      </c>
      <c r="AC13" s="95">
        <f t="shared" si="12"/>
        <v>3973</v>
      </c>
      <c r="AD13" s="95">
        <f t="shared" si="13"/>
        <v>544</v>
      </c>
      <c r="AE13" s="95">
        <v>543</v>
      </c>
      <c r="AF13" s="95">
        <f t="shared" si="14"/>
        <v>3972</v>
      </c>
      <c r="AG13" s="95">
        <f t="shared" si="15"/>
        <v>1</v>
      </c>
      <c r="AH13" s="98">
        <v>3972</v>
      </c>
      <c r="AI13" s="98">
        <v>1</v>
      </c>
      <c r="AJ13" s="98">
        <v>87.95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91">
        <f t="shared" si="16"/>
        <v>2257</v>
      </c>
      <c r="AU13" s="83">
        <f t="shared" si="17"/>
        <v>3973</v>
      </c>
      <c r="AV13" s="18"/>
      <c r="AW13" s="16" t="s">
        <v>44</v>
      </c>
      <c r="AX13" s="25">
        <v>3</v>
      </c>
      <c r="AY13" s="20">
        <v>30</v>
      </c>
      <c r="AZ13" s="18" t="s">
        <v>37</v>
      </c>
    </row>
    <row r="14" spans="1:52" ht="12.75">
      <c r="A14" s="1">
        <v>10</v>
      </c>
      <c r="B14" s="48" t="s">
        <v>7</v>
      </c>
      <c r="C14" s="2" t="s">
        <v>29</v>
      </c>
      <c r="D14" s="5">
        <v>1</v>
      </c>
      <c r="E14" s="5">
        <v>1</v>
      </c>
      <c r="F14" s="12">
        <v>15296.875</v>
      </c>
      <c r="G14" s="4">
        <f t="shared" si="0"/>
        <v>15296.88</v>
      </c>
      <c r="H14" s="4">
        <f t="shared" si="1"/>
        <v>15296.88</v>
      </c>
      <c r="I14" s="4">
        <f t="shared" si="2"/>
        <v>15296.88</v>
      </c>
      <c r="J14" s="36">
        <f t="shared" si="3"/>
        <v>14312.87</v>
      </c>
      <c r="K14" s="39">
        <f t="shared" si="4"/>
        <v>14313</v>
      </c>
      <c r="L14" s="44">
        <v>1100</v>
      </c>
      <c r="M14" s="39">
        <v>6570</v>
      </c>
      <c r="N14" s="44">
        <f t="shared" si="5"/>
        <v>1095</v>
      </c>
      <c r="O14" s="44">
        <f t="shared" si="6"/>
        <v>1095</v>
      </c>
      <c r="P14" s="44">
        <f t="shared" si="7"/>
        <v>1095</v>
      </c>
      <c r="Q14" s="44">
        <f t="shared" si="8"/>
        <v>1095</v>
      </c>
      <c r="R14" s="44">
        <f t="shared" si="9"/>
        <v>1095</v>
      </c>
      <c r="S14" s="44"/>
      <c r="T14" s="44">
        <f t="shared" si="10"/>
        <v>1095</v>
      </c>
      <c r="U14" s="44">
        <f t="shared" si="11"/>
        <v>6570</v>
      </c>
      <c r="V14" s="44"/>
      <c r="W14" s="44"/>
      <c r="X14" s="89">
        <v>1431</v>
      </c>
      <c r="Y14" s="89">
        <v>1428</v>
      </c>
      <c r="Z14" s="89">
        <v>1431</v>
      </c>
      <c r="AA14" s="89">
        <v>1428</v>
      </c>
      <c r="AB14" s="44">
        <v>452</v>
      </c>
      <c r="AC14" s="95">
        <f t="shared" si="12"/>
        <v>3314</v>
      </c>
      <c r="AD14" s="95">
        <f t="shared" si="13"/>
        <v>458</v>
      </c>
      <c r="AE14" s="95">
        <v>450</v>
      </c>
      <c r="AF14" s="95">
        <f t="shared" si="14"/>
        <v>3306</v>
      </c>
      <c r="AG14" s="95">
        <f t="shared" si="15"/>
        <v>8</v>
      </c>
      <c r="AH14" s="83"/>
      <c r="AI14" s="83">
        <v>8</v>
      </c>
      <c r="AJ14" s="83">
        <v>0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91">
        <f t="shared" si="16"/>
        <v>1883</v>
      </c>
      <c r="AU14" s="83">
        <f t="shared" si="17"/>
        <v>3314</v>
      </c>
      <c r="AV14" s="18" t="s">
        <v>33</v>
      </c>
      <c r="AW14" s="16"/>
      <c r="AX14" s="25">
        <v>3</v>
      </c>
      <c r="AY14" s="28">
        <v>30</v>
      </c>
      <c r="AZ14" s="29" t="s">
        <v>37</v>
      </c>
    </row>
    <row r="15" spans="1:52" ht="12.75">
      <c r="A15" s="1">
        <v>11</v>
      </c>
      <c r="B15" s="48" t="s">
        <v>8</v>
      </c>
      <c r="C15" s="2" t="s">
        <v>29</v>
      </c>
      <c r="D15" s="5">
        <v>1</v>
      </c>
      <c r="E15" s="5">
        <v>1</v>
      </c>
      <c r="F15" s="12">
        <v>15296.875</v>
      </c>
      <c r="G15" s="4">
        <f t="shared" si="0"/>
        <v>15296.88</v>
      </c>
      <c r="H15" s="4">
        <f t="shared" si="1"/>
        <v>15296.88</v>
      </c>
      <c r="I15" s="4">
        <f t="shared" si="2"/>
        <v>15296.88</v>
      </c>
      <c r="J15" s="36">
        <f t="shared" si="3"/>
        <v>14312.87</v>
      </c>
      <c r="K15" s="39">
        <f t="shared" si="4"/>
        <v>14313</v>
      </c>
      <c r="L15" s="44">
        <v>1100</v>
      </c>
      <c r="M15" s="39">
        <v>6789</v>
      </c>
      <c r="N15" s="44">
        <f t="shared" si="5"/>
        <v>1132</v>
      </c>
      <c r="O15" s="44">
        <f t="shared" si="6"/>
        <v>1132</v>
      </c>
      <c r="P15" s="44">
        <f t="shared" si="7"/>
        <v>1132</v>
      </c>
      <c r="Q15" s="44">
        <f t="shared" si="8"/>
        <v>1132</v>
      </c>
      <c r="R15" s="44">
        <f t="shared" si="9"/>
        <v>1132</v>
      </c>
      <c r="S15" s="44"/>
      <c r="T15" s="44">
        <f t="shared" si="10"/>
        <v>1129</v>
      </c>
      <c r="U15" s="44">
        <f t="shared" si="11"/>
        <v>6789</v>
      </c>
      <c r="V15" s="44"/>
      <c r="W15" s="44"/>
      <c r="X15" s="89">
        <v>1431</v>
      </c>
      <c r="Y15" s="89">
        <v>1382.4</v>
      </c>
      <c r="Z15" s="89">
        <v>1431</v>
      </c>
      <c r="AA15" s="89">
        <v>1413</v>
      </c>
      <c r="AB15" s="44">
        <v>452</v>
      </c>
      <c r="AC15" s="95">
        <f t="shared" si="12"/>
        <v>3314</v>
      </c>
      <c r="AD15" s="95">
        <f t="shared" si="13"/>
        <v>518.5999999999999</v>
      </c>
      <c r="AE15" s="95">
        <v>510</v>
      </c>
      <c r="AF15" s="95">
        <f t="shared" si="14"/>
        <v>3305.4</v>
      </c>
      <c r="AG15" s="95">
        <f t="shared" si="15"/>
        <v>8.599999999999909</v>
      </c>
      <c r="AH15" s="83"/>
      <c r="AI15" s="83">
        <v>8.6</v>
      </c>
      <c r="AJ15" s="83">
        <v>0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91">
        <f t="shared" si="16"/>
        <v>1883</v>
      </c>
      <c r="AU15" s="83">
        <f t="shared" si="17"/>
        <v>3314</v>
      </c>
      <c r="AV15" s="18" t="s">
        <v>33</v>
      </c>
      <c r="AW15" s="16"/>
      <c r="AX15" s="25">
        <v>3</v>
      </c>
      <c r="AY15" s="17">
        <v>31</v>
      </c>
      <c r="AZ15" s="18" t="s">
        <v>37</v>
      </c>
    </row>
    <row r="16" spans="1:53" ht="12.75">
      <c r="A16" s="1">
        <v>12</v>
      </c>
      <c r="B16" s="48" t="s">
        <v>9</v>
      </c>
      <c r="C16" s="6" t="s">
        <v>31</v>
      </c>
      <c r="D16" s="8">
        <v>1.2</v>
      </c>
      <c r="E16" s="5">
        <v>1</v>
      </c>
      <c r="F16" s="12">
        <v>15296.875</v>
      </c>
      <c r="G16" s="4">
        <f t="shared" si="0"/>
        <v>18356.25</v>
      </c>
      <c r="H16" s="4">
        <f t="shared" si="1"/>
        <v>18356.25</v>
      </c>
      <c r="I16" s="4">
        <f t="shared" si="2"/>
        <v>18356.25</v>
      </c>
      <c r="J16" s="36">
        <f t="shared" si="3"/>
        <v>17175.44</v>
      </c>
      <c r="K16" s="39">
        <f t="shared" si="4"/>
        <v>17175</v>
      </c>
      <c r="L16" s="44">
        <v>1500</v>
      </c>
      <c r="M16" s="39">
        <v>9199</v>
      </c>
      <c r="N16" s="44">
        <f t="shared" si="5"/>
        <v>1533</v>
      </c>
      <c r="O16" s="44">
        <f t="shared" si="6"/>
        <v>1533</v>
      </c>
      <c r="P16" s="44">
        <f t="shared" si="7"/>
        <v>1533</v>
      </c>
      <c r="Q16" s="44">
        <f t="shared" si="8"/>
        <v>1533</v>
      </c>
      <c r="R16" s="44">
        <f t="shared" si="9"/>
        <v>1533</v>
      </c>
      <c r="S16" s="44"/>
      <c r="T16" s="44">
        <f t="shared" si="10"/>
        <v>1534</v>
      </c>
      <c r="U16" s="44">
        <f t="shared" si="11"/>
        <v>9199</v>
      </c>
      <c r="V16" s="44"/>
      <c r="W16" s="44"/>
      <c r="X16" s="89">
        <v>1717</v>
      </c>
      <c r="Y16" s="89">
        <v>1710</v>
      </c>
      <c r="Z16" s="89">
        <v>1717</v>
      </c>
      <c r="AA16" s="89">
        <v>1707</v>
      </c>
      <c r="AB16" s="44">
        <v>542</v>
      </c>
      <c r="AC16" s="95">
        <f t="shared" si="12"/>
        <v>3976</v>
      </c>
      <c r="AD16" s="95">
        <f t="shared" si="13"/>
        <v>559</v>
      </c>
      <c r="AE16" s="95">
        <v>558</v>
      </c>
      <c r="AF16" s="95">
        <f t="shared" si="14"/>
        <v>3975</v>
      </c>
      <c r="AG16" s="95">
        <f t="shared" si="15"/>
        <v>1</v>
      </c>
      <c r="AH16" s="98">
        <v>3975</v>
      </c>
      <c r="AI16" s="98">
        <v>1</v>
      </c>
      <c r="AJ16" s="98">
        <v>88.02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91">
        <f t="shared" si="16"/>
        <v>2259</v>
      </c>
      <c r="AU16" s="83">
        <f t="shared" si="17"/>
        <v>3976</v>
      </c>
      <c r="AV16" s="18" t="s">
        <v>33</v>
      </c>
      <c r="AW16" s="16"/>
      <c r="AX16" s="25">
        <v>3</v>
      </c>
      <c r="AY16" s="28">
        <v>35</v>
      </c>
      <c r="AZ16" s="29" t="s">
        <v>38</v>
      </c>
      <c r="BA16" s="41" t="s">
        <v>52</v>
      </c>
    </row>
    <row r="17" spans="1:53" ht="12.75">
      <c r="A17" s="1">
        <v>13</v>
      </c>
      <c r="B17" s="48" t="s">
        <v>10</v>
      </c>
      <c r="C17" s="2" t="s">
        <v>29</v>
      </c>
      <c r="D17" s="5">
        <v>1</v>
      </c>
      <c r="E17" s="5">
        <v>1</v>
      </c>
      <c r="F17" s="12">
        <v>15296.875</v>
      </c>
      <c r="G17" s="4">
        <f t="shared" si="0"/>
        <v>15296.88</v>
      </c>
      <c r="H17" s="4">
        <f t="shared" si="1"/>
        <v>15296.88</v>
      </c>
      <c r="I17" s="4">
        <f t="shared" si="2"/>
        <v>15296.88</v>
      </c>
      <c r="J17" s="36">
        <f t="shared" si="3"/>
        <v>14312.87</v>
      </c>
      <c r="K17" s="39">
        <f t="shared" si="4"/>
        <v>14313</v>
      </c>
      <c r="L17" s="44">
        <v>1200</v>
      </c>
      <c r="M17" s="39">
        <v>7665</v>
      </c>
      <c r="N17" s="44">
        <f t="shared" si="5"/>
        <v>1278</v>
      </c>
      <c r="O17" s="44">
        <f t="shared" si="6"/>
        <v>1278</v>
      </c>
      <c r="P17" s="44">
        <f t="shared" si="7"/>
        <v>1278</v>
      </c>
      <c r="Q17" s="44">
        <f t="shared" si="8"/>
        <v>1278</v>
      </c>
      <c r="R17" s="44">
        <f t="shared" si="9"/>
        <v>1278</v>
      </c>
      <c r="S17" s="44"/>
      <c r="T17" s="44">
        <f t="shared" si="10"/>
        <v>1275</v>
      </c>
      <c r="U17" s="44">
        <f t="shared" si="11"/>
        <v>7665</v>
      </c>
      <c r="V17" s="44"/>
      <c r="W17" s="44"/>
      <c r="X17" s="89">
        <v>1431</v>
      </c>
      <c r="Y17" s="89">
        <v>1431</v>
      </c>
      <c r="Z17" s="89">
        <v>1431</v>
      </c>
      <c r="AA17" s="89">
        <v>1431</v>
      </c>
      <c r="AB17" s="44">
        <v>452</v>
      </c>
      <c r="AC17" s="95">
        <f t="shared" si="12"/>
        <v>3314</v>
      </c>
      <c r="AD17" s="95">
        <f t="shared" si="13"/>
        <v>452</v>
      </c>
      <c r="AE17" s="95">
        <v>444</v>
      </c>
      <c r="AF17" s="95">
        <f t="shared" si="14"/>
        <v>3306</v>
      </c>
      <c r="AG17" s="95">
        <f t="shared" si="15"/>
        <v>8</v>
      </c>
      <c r="AH17" s="83"/>
      <c r="AI17" s="83">
        <v>8</v>
      </c>
      <c r="AJ17" s="83">
        <v>0</v>
      </c>
      <c r="AK17" s="44"/>
      <c r="AL17" s="44"/>
      <c r="AM17" s="44"/>
      <c r="AN17" s="44"/>
      <c r="AO17" s="44"/>
      <c r="AP17" s="44"/>
      <c r="AQ17" s="44"/>
      <c r="AR17" s="44"/>
      <c r="AS17" s="44"/>
      <c r="AT17" s="91">
        <f t="shared" si="16"/>
        <v>1883</v>
      </c>
      <c r="AU17" s="83">
        <f t="shared" si="17"/>
        <v>3314</v>
      </c>
      <c r="AV17" s="18" t="s">
        <v>33</v>
      </c>
      <c r="AW17" s="16"/>
      <c r="AX17" s="25">
        <v>3</v>
      </c>
      <c r="AY17" s="28">
        <v>35</v>
      </c>
      <c r="AZ17" s="29" t="s">
        <v>38</v>
      </c>
      <c r="BA17" s="41" t="s">
        <v>52</v>
      </c>
    </row>
    <row r="18" spans="1:52" ht="12.75">
      <c r="A18" s="1">
        <v>14</v>
      </c>
      <c r="B18" s="48" t="s">
        <v>11</v>
      </c>
      <c r="C18" s="33" t="s">
        <v>30</v>
      </c>
      <c r="D18" s="3">
        <v>0.8</v>
      </c>
      <c r="E18" s="5">
        <v>1</v>
      </c>
      <c r="F18" s="12">
        <v>15296.875</v>
      </c>
      <c r="G18" s="4">
        <f t="shared" si="0"/>
        <v>12237.5</v>
      </c>
      <c r="H18" s="4">
        <f t="shared" si="1"/>
        <v>12237.5</v>
      </c>
      <c r="I18" s="4">
        <f t="shared" si="2"/>
        <v>12237.5</v>
      </c>
      <c r="J18" s="36">
        <f t="shared" si="3"/>
        <v>11450.29</v>
      </c>
      <c r="K18" s="39">
        <f t="shared" si="4"/>
        <v>11450</v>
      </c>
      <c r="L18" s="44">
        <v>1000</v>
      </c>
      <c r="M18" s="39">
        <v>5957</v>
      </c>
      <c r="N18" s="44">
        <f t="shared" si="5"/>
        <v>993</v>
      </c>
      <c r="O18" s="44">
        <f t="shared" si="6"/>
        <v>993</v>
      </c>
      <c r="P18" s="44">
        <f t="shared" si="7"/>
        <v>993</v>
      </c>
      <c r="Q18" s="44">
        <f t="shared" si="8"/>
        <v>993</v>
      </c>
      <c r="R18" s="44">
        <f t="shared" si="9"/>
        <v>993</v>
      </c>
      <c r="S18" s="44"/>
      <c r="T18" s="44">
        <f t="shared" si="10"/>
        <v>992</v>
      </c>
      <c r="U18" s="44">
        <f t="shared" si="11"/>
        <v>5957</v>
      </c>
      <c r="V18" s="44"/>
      <c r="W18" s="44"/>
      <c r="X18" s="89">
        <v>1145</v>
      </c>
      <c r="Y18" s="89">
        <v>1119</v>
      </c>
      <c r="Z18" s="89">
        <v>1145</v>
      </c>
      <c r="AA18" s="89">
        <v>1170</v>
      </c>
      <c r="AB18" s="44">
        <v>361</v>
      </c>
      <c r="AC18" s="95">
        <f t="shared" si="12"/>
        <v>2651</v>
      </c>
      <c r="AD18" s="95">
        <f t="shared" si="13"/>
        <v>362</v>
      </c>
      <c r="AE18" s="95">
        <v>354</v>
      </c>
      <c r="AF18" s="95">
        <f t="shared" si="14"/>
        <v>2643</v>
      </c>
      <c r="AG18" s="95">
        <f t="shared" si="15"/>
        <v>8</v>
      </c>
      <c r="AH18" s="83"/>
      <c r="AI18" s="83">
        <v>8</v>
      </c>
      <c r="AJ18" s="83">
        <v>0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91">
        <f t="shared" si="16"/>
        <v>1506</v>
      </c>
      <c r="AU18" s="83">
        <f t="shared" si="17"/>
        <v>2651</v>
      </c>
      <c r="AV18" s="18" t="s">
        <v>33</v>
      </c>
      <c r="AW18" s="16"/>
      <c r="AX18" s="25">
        <v>3</v>
      </c>
      <c r="AY18" s="28">
        <v>34</v>
      </c>
      <c r="AZ18" s="29" t="s">
        <v>37</v>
      </c>
    </row>
    <row r="19" spans="1:52" ht="12.75">
      <c r="A19" s="1">
        <v>15</v>
      </c>
      <c r="B19" s="48" t="s">
        <v>12</v>
      </c>
      <c r="C19" s="33" t="s">
        <v>30</v>
      </c>
      <c r="D19" s="3">
        <v>0.8</v>
      </c>
      <c r="E19" s="3">
        <v>1.5</v>
      </c>
      <c r="F19" s="12">
        <v>15296.875</v>
      </c>
      <c r="G19" s="4">
        <f t="shared" si="0"/>
        <v>12237.5</v>
      </c>
      <c r="H19" s="4">
        <f t="shared" si="1"/>
        <v>12237.5</v>
      </c>
      <c r="I19" s="4">
        <f t="shared" si="2"/>
        <v>18356.25</v>
      </c>
      <c r="J19" s="36">
        <f t="shared" si="3"/>
        <v>17175.44</v>
      </c>
      <c r="K19" s="39">
        <f t="shared" si="4"/>
        <v>17175</v>
      </c>
      <c r="L19" s="44">
        <v>1400</v>
      </c>
      <c r="M19" s="39">
        <v>8936</v>
      </c>
      <c r="N19" s="44">
        <f t="shared" si="5"/>
        <v>1489</v>
      </c>
      <c r="O19" s="44">
        <f t="shared" si="6"/>
        <v>1489</v>
      </c>
      <c r="P19" s="44">
        <f t="shared" si="7"/>
        <v>1489</v>
      </c>
      <c r="Q19" s="44">
        <f t="shared" si="8"/>
        <v>1489</v>
      </c>
      <c r="R19" s="44">
        <f t="shared" si="9"/>
        <v>1489</v>
      </c>
      <c r="S19" s="44"/>
      <c r="T19" s="44">
        <f t="shared" si="10"/>
        <v>1491</v>
      </c>
      <c r="U19" s="44">
        <f t="shared" si="11"/>
        <v>8936</v>
      </c>
      <c r="V19" s="44"/>
      <c r="W19" s="44"/>
      <c r="X19" s="89">
        <v>1716</v>
      </c>
      <c r="Y19" s="89">
        <v>1704</v>
      </c>
      <c r="Z19" s="89">
        <v>1716</v>
      </c>
      <c r="AA19" s="89">
        <v>1716</v>
      </c>
      <c r="AB19" s="44">
        <v>541</v>
      </c>
      <c r="AC19" s="95">
        <f t="shared" si="12"/>
        <v>3973</v>
      </c>
      <c r="AD19" s="95">
        <f t="shared" si="13"/>
        <v>553</v>
      </c>
      <c r="AE19" s="95">
        <v>534</v>
      </c>
      <c r="AF19" s="95">
        <f t="shared" si="14"/>
        <v>3954</v>
      </c>
      <c r="AG19" s="95">
        <f t="shared" si="15"/>
        <v>19</v>
      </c>
      <c r="AH19" s="83"/>
      <c r="AI19" s="83">
        <v>19</v>
      </c>
      <c r="AJ19" s="83">
        <v>0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91">
        <f t="shared" si="16"/>
        <v>2257</v>
      </c>
      <c r="AU19" s="83">
        <f t="shared" si="17"/>
        <v>3973</v>
      </c>
      <c r="AV19" s="18"/>
      <c r="AW19" s="16" t="s">
        <v>41</v>
      </c>
      <c r="AX19" s="25">
        <v>3</v>
      </c>
      <c r="AY19" s="28">
        <v>34</v>
      </c>
      <c r="AZ19" s="29" t="s">
        <v>37</v>
      </c>
    </row>
    <row r="20" spans="1:52" ht="12.75">
      <c r="A20" s="1">
        <v>16</v>
      </c>
      <c r="B20" s="48" t="s">
        <v>13</v>
      </c>
      <c r="C20" s="2" t="s">
        <v>29</v>
      </c>
      <c r="D20" s="5">
        <v>1</v>
      </c>
      <c r="E20" s="5">
        <v>1</v>
      </c>
      <c r="F20" s="12">
        <v>15296.875</v>
      </c>
      <c r="G20" s="4">
        <f t="shared" si="0"/>
        <v>15296.88</v>
      </c>
      <c r="H20" s="4">
        <f t="shared" si="1"/>
        <v>15296.88</v>
      </c>
      <c r="I20" s="4">
        <f t="shared" si="2"/>
        <v>15296.88</v>
      </c>
      <c r="J20" s="36">
        <f t="shared" si="3"/>
        <v>14312.87</v>
      </c>
      <c r="K20" s="39">
        <f t="shared" si="4"/>
        <v>14313</v>
      </c>
      <c r="L20" s="44">
        <v>1200</v>
      </c>
      <c r="M20" s="39">
        <v>7446</v>
      </c>
      <c r="N20" s="44">
        <f t="shared" si="5"/>
        <v>1241</v>
      </c>
      <c r="O20" s="44">
        <f t="shared" si="6"/>
        <v>1241</v>
      </c>
      <c r="P20" s="44">
        <f t="shared" si="7"/>
        <v>1241</v>
      </c>
      <c r="Q20" s="44">
        <f t="shared" si="8"/>
        <v>1241</v>
      </c>
      <c r="R20" s="44">
        <f t="shared" si="9"/>
        <v>1241</v>
      </c>
      <c r="S20" s="44"/>
      <c r="T20" s="44">
        <f t="shared" si="10"/>
        <v>1241</v>
      </c>
      <c r="U20" s="44">
        <f t="shared" si="11"/>
        <v>7446</v>
      </c>
      <c r="V20" s="44"/>
      <c r="W20" s="44"/>
      <c r="X20" s="89">
        <v>1431</v>
      </c>
      <c r="Y20" s="89">
        <v>1400.4</v>
      </c>
      <c r="Z20" s="89">
        <v>1431</v>
      </c>
      <c r="AA20" s="89">
        <v>1454.4</v>
      </c>
      <c r="AB20" s="44">
        <v>452</v>
      </c>
      <c r="AC20" s="95">
        <f t="shared" si="12"/>
        <v>3314</v>
      </c>
      <c r="AD20" s="95">
        <f t="shared" si="13"/>
        <v>459.1999999999998</v>
      </c>
      <c r="AE20" s="95">
        <v>444</v>
      </c>
      <c r="AF20" s="95">
        <f t="shared" si="14"/>
        <v>3298.8</v>
      </c>
      <c r="AG20" s="95">
        <f t="shared" si="15"/>
        <v>15.199999999999818</v>
      </c>
      <c r="AH20" s="83"/>
      <c r="AI20" s="83">
        <v>15.2</v>
      </c>
      <c r="AJ20" s="83">
        <v>0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91">
        <f t="shared" si="16"/>
        <v>1883</v>
      </c>
      <c r="AU20" s="83">
        <f t="shared" si="17"/>
        <v>3314</v>
      </c>
      <c r="AV20" s="18" t="s">
        <v>33</v>
      </c>
      <c r="AW20" s="16"/>
      <c r="AX20" s="25">
        <v>3</v>
      </c>
      <c r="AY20" s="28">
        <v>34</v>
      </c>
      <c r="AZ20" s="29" t="s">
        <v>37</v>
      </c>
    </row>
    <row r="21" spans="1:52" ht="12.75">
      <c r="A21" s="1">
        <v>17</v>
      </c>
      <c r="B21" s="48" t="s">
        <v>14</v>
      </c>
      <c r="C21" s="33" t="s">
        <v>30</v>
      </c>
      <c r="D21" s="3">
        <v>0.8</v>
      </c>
      <c r="E21" s="3">
        <v>1.5</v>
      </c>
      <c r="F21" s="12">
        <v>15296.875</v>
      </c>
      <c r="G21" s="4">
        <f t="shared" si="0"/>
        <v>12237.5</v>
      </c>
      <c r="H21" s="4">
        <f t="shared" si="1"/>
        <v>12237.5</v>
      </c>
      <c r="I21" s="4">
        <f t="shared" si="2"/>
        <v>18356.25</v>
      </c>
      <c r="J21" s="36">
        <f t="shared" si="3"/>
        <v>17175.44</v>
      </c>
      <c r="K21" s="39">
        <f t="shared" si="4"/>
        <v>17175</v>
      </c>
      <c r="L21" s="44">
        <v>1250</v>
      </c>
      <c r="M21" s="39">
        <v>7884</v>
      </c>
      <c r="N21" s="44">
        <f t="shared" si="5"/>
        <v>1314</v>
      </c>
      <c r="O21" s="44">
        <f t="shared" si="6"/>
        <v>1314</v>
      </c>
      <c r="P21" s="44">
        <f t="shared" si="7"/>
        <v>1314</v>
      </c>
      <c r="Q21" s="44">
        <f t="shared" si="8"/>
        <v>1314</v>
      </c>
      <c r="R21" s="44">
        <f t="shared" si="9"/>
        <v>1314</v>
      </c>
      <c r="S21" s="44"/>
      <c r="T21" s="44">
        <f t="shared" si="10"/>
        <v>1314</v>
      </c>
      <c r="U21" s="44">
        <f t="shared" si="11"/>
        <v>7884</v>
      </c>
      <c r="V21" s="44"/>
      <c r="W21" s="44"/>
      <c r="X21" s="89">
        <v>1716</v>
      </c>
      <c r="Y21" s="89">
        <v>1717.2</v>
      </c>
      <c r="Z21" s="89">
        <v>1716</v>
      </c>
      <c r="AA21" s="89">
        <v>1710.6</v>
      </c>
      <c r="AB21" s="44">
        <v>541</v>
      </c>
      <c r="AC21" s="95">
        <f t="shared" si="12"/>
        <v>3973</v>
      </c>
      <c r="AD21" s="95">
        <f t="shared" si="13"/>
        <v>545.2000000000003</v>
      </c>
      <c r="AE21" s="95">
        <v>537</v>
      </c>
      <c r="AF21" s="95">
        <f t="shared" si="14"/>
        <v>3964.8</v>
      </c>
      <c r="AG21" s="95">
        <f t="shared" si="15"/>
        <v>8.199999999999818</v>
      </c>
      <c r="AH21" s="83"/>
      <c r="AI21" s="83">
        <v>8.2</v>
      </c>
      <c r="AJ21" s="83">
        <v>0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91">
        <f t="shared" si="16"/>
        <v>2257</v>
      </c>
      <c r="AU21" s="83">
        <f t="shared" si="17"/>
        <v>3973</v>
      </c>
      <c r="AV21" s="18"/>
      <c r="AW21" s="16" t="s">
        <v>43</v>
      </c>
      <c r="AX21" s="25">
        <v>3</v>
      </c>
      <c r="AY21" s="28">
        <v>30</v>
      </c>
      <c r="AZ21" s="29" t="s">
        <v>37</v>
      </c>
    </row>
    <row r="22" spans="1:52" ht="12.75">
      <c r="A22" s="1">
        <v>18</v>
      </c>
      <c r="B22" s="48" t="s">
        <v>40</v>
      </c>
      <c r="C22" s="6" t="s">
        <v>31</v>
      </c>
      <c r="D22" s="8">
        <v>1.2</v>
      </c>
      <c r="E22" s="5">
        <v>1</v>
      </c>
      <c r="F22" s="12">
        <v>15296.875</v>
      </c>
      <c r="G22" s="4">
        <f t="shared" si="0"/>
        <v>18356.25</v>
      </c>
      <c r="H22" s="4">
        <f t="shared" si="1"/>
        <v>18356.25</v>
      </c>
      <c r="I22" s="4">
        <f t="shared" si="2"/>
        <v>18356.25</v>
      </c>
      <c r="J22" s="36">
        <f t="shared" si="3"/>
        <v>17175.44</v>
      </c>
      <c r="K22" s="39">
        <f t="shared" si="4"/>
        <v>17175</v>
      </c>
      <c r="L22" s="44">
        <v>1400</v>
      </c>
      <c r="M22" s="39">
        <v>8936</v>
      </c>
      <c r="N22" s="44">
        <f t="shared" si="5"/>
        <v>1489</v>
      </c>
      <c r="O22" s="44">
        <f t="shared" si="6"/>
        <v>1489</v>
      </c>
      <c r="P22" s="44">
        <f t="shared" si="7"/>
        <v>1489</v>
      </c>
      <c r="Q22" s="44">
        <f t="shared" si="8"/>
        <v>1489</v>
      </c>
      <c r="R22" s="44">
        <f t="shared" si="9"/>
        <v>1489</v>
      </c>
      <c r="S22" s="44"/>
      <c r="T22" s="44">
        <f t="shared" si="10"/>
        <v>1491</v>
      </c>
      <c r="U22" s="44">
        <f t="shared" si="11"/>
        <v>8936</v>
      </c>
      <c r="V22" s="44"/>
      <c r="W22" s="44"/>
      <c r="X22" s="89">
        <v>1717</v>
      </c>
      <c r="Y22" s="89">
        <v>1702.8</v>
      </c>
      <c r="Z22" s="89">
        <v>1717</v>
      </c>
      <c r="AA22" s="89">
        <v>1704</v>
      </c>
      <c r="AB22" s="44">
        <v>542</v>
      </c>
      <c r="AC22" s="95">
        <f t="shared" si="12"/>
        <v>3976</v>
      </c>
      <c r="AD22" s="95">
        <f t="shared" si="13"/>
        <v>569.1999999999998</v>
      </c>
      <c r="AE22" s="95">
        <v>540</v>
      </c>
      <c r="AF22" s="95">
        <f t="shared" si="14"/>
        <v>3946.8</v>
      </c>
      <c r="AG22" s="95">
        <f t="shared" si="15"/>
        <v>29.199999999999818</v>
      </c>
      <c r="AH22" s="83"/>
      <c r="AI22" s="83">
        <v>29.2</v>
      </c>
      <c r="AJ22" s="83">
        <v>0</v>
      </c>
      <c r="AK22" s="44"/>
      <c r="AL22" s="44"/>
      <c r="AM22" s="44"/>
      <c r="AN22" s="44"/>
      <c r="AO22" s="44"/>
      <c r="AP22" s="44"/>
      <c r="AQ22" s="44"/>
      <c r="AR22" s="44"/>
      <c r="AS22" s="44"/>
      <c r="AT22" s="91">
        <f t="shared" si="16"/>
        <v>2259</v>
      </c>
      <c r="AU22" s="83">
        <f t="shared" si="17"/>
        <v>3976</v>
      </c>
      <c r="AV22" s="18" t="s">
        <v>33</v>
      </c>
      <c r="AW22" s="16"/>
      <c r="AX22" s="25">
        <v>3</v>
      </c>
      <c r="AY22" s="28">
        <v>34</v>
      </c>
      <c r="AZ22" s="29" t="s">
        <v>37</v>
      </c>
    </row>
    <row r="23" spans="1:53" ht="12.75">
      <c r="A23" s="1">
        <v>19</v>
      </c>
      <c r="B23" s="48" t="s">
        <v>15</v>
      </c>
      <c r="C23" s="2" t="s">
        <v>29</v>
      </c>
      <c r="D23" s="5">
        <v>1</v>
      </c>
      <c r="E23" s="3">
        <v>1.5</v>
      </c>
      <c r="F23" s="12">
        <v>15296.875</v>
      </c>
      <c r="G23" s="4">
        <f t="shared" si="0"/>
        <v>15296.88</v>
      </c>
      <c r="H23" s="4">
        <f t="shared" si="1"/>
        <v>15296.88</v>
      </c>
      <c r="I23" s="4">
        <f t="shared" si="2"/>
        <v>22945.32</v>
      </c>
      <c r="J23" s="36">
        <f t="shared" si="3"/>
        <v>21469.3</v>
      </c>
      <c r="K23" s="39">
        <f t="shared" si="4"/>
        <v>21469</v>
      </c>
      <c r="L23" s="44">
        <v>1800</v>
      </c>
      <c r="M23" s="39">
        <v>11498</v>
      </c>
      <c r="N23" s="44">
        <f t="shared" si="5"/>
        <v>1916</v>
      </c>
      <c r="O23" s="44">
        <f t="shared" si="6"/>
        <v>1916</v>
      </c>
      <c r="P23" s="44">
        <f t="shared" si="7"/>
        <v>1916</v>
      </c>
      <c r="Q23" s="44">
        <f t="shared" si="8"/>
        <v>1916</v>
      </c>
      <c r="R23" s="44">
        <f t="shared" si="9"/>
        <v>1916</v>
      </c>
      <c r="S23" s="44"/>
      <c r="T23" s="44">
        <f t="shared" si="10"/>
        <v>1918</v>
      </c>
      <c r="U23" s="44">
        <f t="shared" si="11"/>
        <v>11498</v>
      </c>
      <c r="V23" s="44"/>
      <c r="W23" s="44"/>
      <c r="X23" s="89">
        <v>2145</v>
      </c>
      <c r="Y23" s="89">
        <v>2145</v>
      </c>
      <c r="Z23" s="89">
        <v>2145</v>
      </c>
      <c r="AA23" s="89">
        <v>2142.6</v>
      </c>
      <c r="AB23" s="83">
        <v>677</v>
      </c>
      <c r="AC23" s="95">
        <f t="shared" si="12"/>
        <v>4967</v>
      </c>
      <c r="AD23" s="95">
        <f t="shared" si="13"/>
        <v>679.4000000000001</v>
      </c>
      <c r="AE23" s="95">
        <v>672</v>
      </c>
      <c r="AF23" s="95">
        <f t="shared" si="14"/>
        <v>4959.6</v>
      </c>
      <c r="AG23" s="95">
        <f t="shared" si="15"/>
        <v>7.399999999999636</v>
      </c>
      <c r="AH23" s="83"/>
      <c r="AI23" s="83">
        <v>7.4</v>
      </c>
      <c r="AJ23" s="83">
        <v>0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91">
        <f t="shared" si="16"/>
        <v>2822</v>
      </c>
      <c r="AU23" s="83">
        <f t="shared" si="17"/>
        <v>4967</v>
      </c>
      <c r="AV23" s="18"/>
      <c r="AW23" s="16" t="s">
        <v>45</v>
      </c>
      <c r="AX23" s="25">
        <v>3</v>
      </c>
      <c r="AY23" s="28">
        <v>35</v>
      </c>
      <c r="AZ23" s="29" t="s">
        <v>38</v>
      </c>
      <c r="BA23" s="41" t="s">
        <v>52</v>
      </c>
    </row>
    <row r="24" spans="1:52" ht="12.75">
      <c r="A24" s="1">
        <v>20</v>
      </c>
      <c r="B24" s="48" t="s">
        <v>16</v>
      </c>
      <c r="C24" s="2" t="s">
        <v>29</v>
      </c>
      <c r="D24" s="5">
        <v>1</v>
      </c>
      <c r="E24" s="5">
        <v>1</v>
      </c>
      <c r="F24" s="12">
        <v>15296.875</v>
      </c>
      <c r="G24" s="4">
        <f t="shared" si="0"/>
        <v>15296.88</v>
      </c>
      <c r="H24" s="4">
        <f t="shared" si="1"/>
        <v>15296.88</v>
      </c>
      <c r="I24" s="4">
        <f t="shared" si="2"/>
        <v>15296.88</v>
      </c>
      <c r="J24" s="36">
        <f t="shared" si="3"/>
        <v>14312.87</v>
      </c>
      <c r="K24" s="39">
        <f t="shared" si="4"/>
        <v>14313</v>
      </c>
      <c r="L24" s="44">
        <v>1200</v>
      </c>
      <c r="M24" s="39">
        <v>7446</v>
      </c>
      <c r="N24" s="44">
        <f t="shared" si="5"/>
        <v>1241</v>
      </c>
      <c r="O24" s="44">
        <f t="shared" si="6"/>
        <v>1241</v>
      </c>
      <c r="P24" s="44">
        <f t="shared" si="7"/>
        <v>1241</v>
      </c>
      <c r="Q24" s="44">
        <f t="shared" si="8"/>
        <v>1241</v>
      </c>
      <c r="R24" s="44">
        <f t="shared" si="9"/>
        <v>1241</v>
      </c>
      <c r="S24" s="44"/>
      <c r="T24" s="44">
        <f t="shared" si="10"/>
        <v>1241</v>
      </c>
      <c r="U24" s="44">
        <f t="shared" si="11"/>
        <v>7446</v>
      </c>
      <c r="V24" s="44"/>
      <c r="W24" s="44"/>
      <c r="X24" s="89">
        <v>1431</v>
      </c>
      <c r="Y24" s="89">
        <v>1425.6</v>
      </c>
      <c r="Z24" s="89">
        <v>1431</v>
      </c>
      <c r="AA24" s="89">
        <v>1426.8</v>
      </c>
      <c r="AB24" s="44">
        <v>452</v>
      </c>
      <c r="AC24" s="95">
        <f t="shared" si="12"/>
        <v>3314</v>
      </c>
      <c r="AD24" s="95">
        <f t="shared" si="13"/>
        <v>461.60000000000014</v>
      </c>
      <c r="AE24" s="95">
        <v>452.4</v>
      </c>
      <c r="AF24" s="95">
        <f t="shared" si="14"/>
        <v>3304.7999999999997</v>
      </c>
      <c r="AG24" s="95">
        <f t="shared" si="15"/>
        <v>9.200000000000273</v>
      </c>
      <c r="AH24" s="83"/>
      <c r="AI24" s="83">
        <v>9.2</v>
      </c>
      <c r="AJ24" s="83">
        <v>0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91">
        <f t="shared" si="16"/>
        <v>1883</v>
      </c>
      <c r="AU24" s="83">
        <f t="shared" si="17"/>
        <v>3314</v>
      </c>
      <c r="AV24" s="18" t="s">
        <v>33</v>
      </c>
      <c r="AW24" s="16"/>
      <c r="AX24" s="25">
        <v>3</v>
      </c>
      <c r="AY24" s="30">
        <v>34</v>
      </c>
      <c r="AZ24" s="29" t="s">
        <v>37</v>
      </c>
    </row>
    <row r="25" spans="1:52" ht="12.75">
      <c r="A25" s="1">
        <v>21</v>
      </c>
      <c r="B25" s="48" t="s">
        <v>17</v>
      </c>
      <c r="C25" s="2" t="s">
        <v>29</v>
      </c>
      <c r="D25" s="5">
        <v>1</v>
      </c>
      <c r="E25" s="5">
        <v>1</v>
      </c>
      <c r="F25" s="12">
        <v>15296.875</v>
      </c>
      <c r="G25" s="4">
        <f t="shared" si="0"/>
        <v>15296.88</v>
      </c>
      <c r="H25" s="4">
        <f t="shared" si="1"/>
        <v>15296.88</v>
      </c>
      <c r="I25" s="4">
        <f t="shared" si="2"/>
        <v>15296.88</v>
      </c>
      <c r="J25" s="36">
        <f t="shared" si="3"/>
        <v>14312.87</v>
      </c>
      <c r="K25" s="39">
        <f t="shared" si="4"/>
        <v>14313</v>
      </c>
      <c r="L25" s="44">
        <v>1100</v>
      </c>
      <c r="M25" s="39">
        <v>7446</v>
      </c>
      <c r="N25" s="44">
        <f t="shared" si="5"/>
        <v>1241</v>
      </c>
      <c r="O25" s="44">
        <f t="shared" si="6"/>
        <v>1241</v>
      </c>
      <c r="P25" s="44">
        <f t="shared" si="7"/>
        <v>1241</v>
      </c>
      <c r="Q25" s="44">
        <f t="shared" si="8"/>
        <v>1241</v>
      </c>
      <c r="R25" s="44">
        <f t="shared" si="9"/>
        <v>1241</v>
      </c>
      <c r="S25" s="44"/>
      <c r="T25" s="44">
        <f t="shared" si="10"/>
        <v>1241</v>
      </c>
      <c r="U25" s="44">
        <f t="shared" si="11"/>
        <v>7446</v>
      </c>
      <c r="V25" s="44"/>
      <c r="W25" s="44"/>
      <c r="X25" s="89">
        <v>1431</v>
      </c>
      <c r="Y25" s="89">
        <v>1449</v>
      </c>
      <c r="Z25" s="89">
        <v>1431</v>
      </c>
      <c r="AA25" s="89">
        <v>1407</v>
      </c>
      <c r="AB25" s="44">
        <v>452</v>
      </c>
      <c r="AC25" s="95">
        <f t="shared" si="12"/>
        <v>3314</v>
      </c>
      <c r="AD25" s="95">
        <f t="shared" si="13"/>
        <v>458</v>
      </c>
      <c r="AE25" s="95">
        <v>450</v>
      </c>
      <c r="AF25" s="95">
        <f t="shared" si="14"/>
        <v>3306</v>
      </c>
      <c r="AG25" s="95">
        <f t="shared" si="15"/>
        <v>8</v>
      </c>
      <c r="AH25" s="83"/>
      <c r="AI25" s="83">
        <v>8</v>
      </c>
      <c r="AJ25" s="83">
        <v>0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91">
        <f t="shared" si="16"/>
        <v>1883</v>
      </c>
      <c r="AU25" s="83">
        <f t="shared" si="17"/>
        <v>3314</v>
      </c>
      <c r="AV25" s="18" t="s">
        <v>33</v>
      </c>
      <c r="AW25" s="16"/>
      <c r="AX25" s="25">
        <v>3</v>
      </c>
      <c r="AY25" s="28">
        <v>34</v>
      </c>
      <c r="AZ25" s="29" t="s">
        <v>37</v>
      </c>
    </row>
    <row r="26" spans="1:52" ht="12.75">
      <c r="A26" s="1">
        <v>22</v>
      </c>
      <c r="B26" s="48" t="s">
        <v>18</v>
      </c>
      <c r="C26" s="2" t="s">
        <v>29</v>
      </c>
      <c r="D26" s="5">
        <v>1</v>
      </c>
      <c r="E26" s="5">
        <v>1</v>
      </c>
      <c r="F26" s="12">
        <v>15296.875</v>
      </c>
      <c r="G26" s="4">
        <f t="shared" si="0"/>
        <v>15296.88</v>
      </c>
      <c r="H26" s="4">
        <f t="shared" si="1"/>
        <v>15296.88</v>
      </c>
      <c r="I26" s="4">
        <f t="shared" si="2"/>
        <v>15296.88</v>
      </c>
      <c r="J26" s="36">
        <f t="shared" si="3"/>
        <v>14312.87</v>
      </c>
      <c r="K26" s="39">
        <f t="shared" si="4"/>
        <v>14313</v>
      </c>
      <c r="L26" s="44">
        <v>1200</v>
      </c>
      <c r="M26" s="39">
        <v>7446</v>
      </c>
      <c r="N26" s="44">
        <f t="shared" si="5"/>
        <v>1241</v>
      </c>
      <c r="O26" s="44">
        <f t="shared" si="6"/>
        <v>1241</v>
      </c>
      <c r="P26" s="44">
        <f t="shared" si="7"/>
        <v>1241</v>
      </c>
      <c r="Q26" s="44">
        <f t="shared" si="8"/>
        <v>1241</v>
      </c>
      <c r="R26" s="44">
        <f t="shared" si="9"/>
        <v>1241</v>
      </c>
      <c r="S26" s="44"/>
      <c r="T26" s="44">
        <f t="shared" si="10"/>
        <v>1241</v>
      </c>
      <c r="U26" s="44">
        <f t="shared" si="11"/>
        <v>7446</v>
      </c>
      <c r="V26" s="44"/>
      <c r="W26" s="44"/>
      <c r="X26" s="89">
        <v>1431</v>
      </c>
      <c r="Y26" s="89">
        <v>1482</v>
      </c>
      <c r="Z26" s="89">
        <v>1431</v>
      </c>
      <c r="AA26" s="89">
        <v>1377</v>
      </c>
      <c r="AB26" s="44">
        <v>452</v>
      </c>
      <c r="AC26" s="95">
        <f t="shared" si="12"/>
        <v>3314</v>
      </c>
      <c r="AD26" s="95">
        <f t="shared" si="13"/>
        <v>455</v>
      </c>
      <c r="AE26" s="95">
        <v>444</v>
      </c>
      <c r="AF26" s="95">
        <f t="shared" si="14"/>
        <v>3303</v>
      </c>
      <c r="AG26" s="95">
        <f t="shared" si="15"/>
        <v>11</v>
      </c>
      <c r="AH26" s="83"/>
      <c r="AI26" s="83">
        <v>11</v>
      </c>
      <c r="AJ26" s="83">
        <v>0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91">
        <f t="shared" si="16"/>
        <v>1883</v>
      </c>
      <c r="AU26" s="83">
        <f t="shared" si="17"/>
        <v>3314</v>
      </c>
      <c r="AV26" s="18" t="s">
        <v>33</v>
      </c>
      <c r="AW26" s="16"/>
      <c r="AX26" s="25">
        <v>3</v>
      </c>
      <c r="AY26" s="28">
        <v>34</v>
      </c>
      <c r="AZ26" s="29" t="s">
        <v>37</v>
      </c>
    </row>
    <row r="27" spans="1:52" ht="12.75">
      <c r="A27" s="1">
        <v>23</v>
      </c>
      <c r="B27" s="48" t="s">
        <v>19</v>
      </c>
      <c r="C27" s="2" t="s">
        <v>29</v>
      </c>
      <c r="D27" s="5">
        <v>1</v>
      </c>
      <c r="E27" s="5">
        <v>1</v>
      </c>
      <c r="F27" s="12">
        <v>15296.875</v>
      </c>
      <c r="G27" s="4">
        <f t="shared" si="0"/>
        <v>15296.88</v>
      </c>
      <c r="H27" s="4">
        <f t="shared" si="1"/>
        <v>15296.88</v>
      </c>
      <c r="I27" s="4">
        <f t="shared" si="2"/>
        <v>15296.88</v>
      </c>
      <c r="J27" s="36">
        <f t="shared" si="3"/>
        <v>14312.87</v>
      </c>
      <c r="K27" s="39">
        <f t="shared" si="4"/>
        <v>14313</v>
      </c>
      <c r="L27" s="44">
        <v>1200</v>
      </c>
      <c r="M27" s="39">
        <v>7446</v>
      </c>
      <c r="N27" s="44">
        <f t="shared" si="5"/>
        <v>1241</v>
      </c>
      <c r="O27" s="44">
        <f t="shared" si="6"/>
        <v>1241</v>
      </c>
      <c r="P27" s="44">
        <f t="shared" si="7"/>
        <v>1241</v>
      </c>
      <c r="Q27" s="44">
        <f t="shared" si="8"/>
        <v>1241</v>
      </c>
      <c r="R27" s="44">
        <f t="shared" si="9"/>
        <v>1241</v>
      </c>
      <c r="S27" s="44"/>
      <c r="T27" s="44">
        <f t="shared" si="10"/>
        <v>1241</v>
      </c>
      <c r="U27" s="44">
        <f t="shared" si="11"/>
        <v>7446</v>
      </c>
      <c r="V27" s="44"/>
      <c r="W27" s="44"/>
      <c r="X27" s="89">
        <v>1431</v>
      </c>
      <c r="Y27" s="89">
        <v>1386</v>
      </c>
      <c r="Z27" s="89">
        <v>1431</v>
      </c>
      <c r="AA27" s="89">
        <v>1473</v>
      </c>
      <c r="AB27" s="44">
        <v>452</v>
      </c>
      <c r="AC27" s="95">
        <f t="shared" si="12"/>
        <v>3314</v>
      </c>
      <c r="AD27" s="95">
        <f t="shared" si="13"/>
        <v>455</v>
      </c>
      <c r="AE27" s="95">
        <v>450</v>
      </c>
      <c r="AF27" s="95">
        <f t="shared" si="14"/>
        <v>3309</v>
      </c>
      <c r="AG27" s="95">
        <f t="shared" si="15"/>
        <v>5</v>
      </c>
      <c r="AH27" s="83"/>
      <c r="AI27" s="83">
        <v>5</v>
      </c>
      <c r="AJ27" s="83">
        <v>0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91">
        <f t="shared" si="16"/>
        <v>1883</v>
      </c>
      <c r="AU27" s="83">
        <f t="shared" si="17"/>
        <v>3314</v>
      </c>
      <c r="AV27" s="18" t="s">
        <v>33</v>
      </c>
      <c r="AW27" s="16"/>
      <c r="AX27" s="25">
        <v>3</v>
      </c>
      <c r="AY27" s="28">
        <v>34</v>
      </c>
      <c r="AZ27" s="29" t="s">
        <v>37</v>
      </c>
    </row>
    <row r="28" spans="1:52" ht="12.75">
      <c r="A28" s="1">
        <v>24</v>
      </c>
      <c r="B28" s="48" t="s">
        <v>20</v>
      </c>
      <c r="C28" s="2" t="s">
        <v>29</v>
      </c>
      <c r="D28" s="5">
        <v>1</v>
      </c>
      <c r="E28" s="5">
        <v>1</v>
      </c>
      <c r="F28" s="12">
        <v>15296.875</v>
      </c>
      <c r="G28" s="4">
        <f t="shared" si="0"/>
        <v>15296.88</v>
      </c>
      <c r="H28" s="4">
        <f t="shared" si="1"/>
        <v>15296.88</v>
      </c>
      <c r="I28" s="4">
        <f t="shared" si="2"/>
        <v>15296.88</v>
      </c>
      <c r="J28" s="36">
        <f t="shared" si="3"/>
        <v>14312.87</v>
      </c>
      <c r="K28" s="39">
        <f t="shared" si="4"/>
        <v>14313</v>
      </c>
      <c r="L28" s="44">
        <v>1200</v>
      </c>
      <c r="M28" s="39">
        <v>7446</v>
      </c>
      <c r="N28" s="44">
        <f t="shared" si="5"/>
        <v>1241</v>
      </c>
      <c r="O28" s="44">
        <f t="shared" si="6"/>
        <v>1241</v>
      </c>
      <c r="P28" s="44">
        <f t="shared" si="7"/>
        <v>1241</v>
      </c>
      <c r="Q28" s="44">
        <f t="shared" si="8"/>
        <v>1241</v>
      </c>
      <c r="R28" s="44">
        <f t="shared" si="9"/>
        <v>1241</v>
      </c>
      <c r="S28" s="44"/>
      <c r="T28" s="44">
        <f t="shared" si="10"/>
        <v>1241</v>
      </c>
      <c r="U28" s="44">
        <f t="shared" si="11"/>
        <v>7446</v>
      </c>
      <c r="V28" s="44"/>
      <c r="W28" s="44"/>
      <c r="X28" s="89">
        <v>1431</v>
      </c>
      <c r="Y28" s="89">
        <v>1426.2</v>
      </c>
      <c r="Z28" s="89">
        <v>1431</v>
      </c>
      <c r="AA28" s="89">
        <v>1431</v>
      </c>
      <c r="AB28" s="44">
        <v>452</v>
      </c>
      <c r="AC28" s="95">
        <f t="shared" si="12"/>
        <v>3314</v>
      </c>
      <c r="AD28" s="95">
        <f t="shared" si="13"/>
        <v>456.79999999999995</v>
      </c>
      <c r="AE28" s="95">
        <v>453</v>
      </c>
      <c r="AF28" s="95">
        <f t="shared" si="14"/>
        <v>3310.2</v>
      </c>
      <c r="AG28" s="95">
        <f t="shared" si="15"/>
        <v>3.800000000000182</v>
      </c>
      <c r="AH28" s="83"/>
      <c r="AI28" s="83">
        <v>3.8</v>
      </c>
      <c r="AJ28" s="83">
        <v>0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91">
        <f t="shared" si="16"/>
        <v>1883</v>
      </c>
      <c r="AU28" s="83">
        <f t="shared" si="17"/>
        <v>3314</v>
      </c>
      <c r="AV28" s="18" t="s">
        <v>33</v>
      </c>
      <c r="AW28" s="16"/>
      <c r="AX28" s="25">
        <v>3</v>
      </c>
      <c r="AY28" s="28">
        <v>34</v>
      </c>
      <c r="AZ28" s="29" t="s">
        <v>37</v>
      </c>
    </row>
    <row r="29" spans="1:52" ht="12.75">
      <c r="A29" s="1">
        <v>25</v>
      </c>
      <c r="B29" s="48" t="s">
        <v>21</v>
      </c>
      <c r="C29" s="2" t="s">
        <v>29</v>
      </c>
      <c r="D29" s="5">
        <v>1</v>
      </c>
      <c r="E29" s="3">
        <v>1.5</v>
      </c>
      <c r="F29" s="12">
        <v>15296.875</v>
      </c>
      <c r="G29" s="4">
        <f t="shared" si="0"/>
        <v>15296.88</v>
      </c>
      <c r="H29" s="4">
        <f t="shared" si="1"/>
        <v>15296.88</v>
      </c>
      <c r="I29" s="4">
        <f t="shared" si="2"/>
        <v>22945.32</v>
      </c>
      <c r="J29" s="36">
        <f t="shared" si="3"/>
        <v>21469.3</v>
      </c>
      <c r="K29" s="39">
        <f t="shared" si="4"/>
        <v>21469</v>
      </c>
      <c r="L29" s="44">
        <v>1800</v>
      </c>
      <c r="M29" s="39">
        <v>11170</v>
      </c>
      <c r="N29" s="44">
        <f t="shared" si="5"/>
        <v>1862</v>
      </c>
      <c r="O29" s="44">
        <f t="shared" si="6"/>
        <v>1862</v>
      </c>
      <c r="P29" s="44">
        <f t="shared" si="7"/>
        <v>1862</v>
      </c>
      <c r="Q29" s="44">
        <f t="shared" si="8"/>
        <v>1862</v>
      </c>
      <c r="R29" s="44">
        <f t="shared" si="9"/>
        <v>1862</v>
      </c>
      <c r="S29" s="44"/>
      <c r="T29" s="44">
        <f t="shared" si="10"/>
        <v>1860</v>
      </c>
      <c r="U29" s="44">
        <f t="shared" si="11"/>
        <v>11170</v>
      </c>
      <c r="V29" s="44"/>
      <c r="W29" s="44"/>
      <c r="X29" s="89">
        <v>2145</v>
      </c>
      <c r="Y29" s="89">
        <v>2151</v>
      </c>
      <c r="Z29" s="89">
        <v>2145</v>
      </c>
      <c r="AA29" s="89">
        <v>2139</v>
      </c>
      <c r="AB29" s="83">
        <v>677</v>
      </c>
      <c r="AC29" s="95">
        <f t="shared" si="12"/>
        <v>4967</v>
      </c>
      <c r="AD29" s="95">
        <f t="shared" si="13"/>
        <v>677</v>
      </c>
      <c r="AE29" s="95">
        <v>672</v>
      </c>
      <c r="AF29" s="95">
        <f t="shared" si="14"/>
        <v>4962</v>
      </c>
      <c r="AG29" s="95">
        <f t="shared" si="15"/>
        <v>5</v>
      </c>
      <c r="AH29" s="83"/>
      <c r="AI29" s="83">
        <v>5</v>
      </c>
      <c r="AJ29" s="83">
        <v>0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91">
        <f t="shared" si="16"/>
        <v>2822</v>
      </c>
      <c r="AU29" s="83">
        <f t="shared" si="17"/>
        <v>4967</v>
      </c>
      <c r="AV29" s="18"/>
      <c r="AW29" s="16" t="s">
        <v>46</v>
      </c>
      <c r="AX29" s="25">
        <v>3</v>
      </c>
      <c r="AY29" s="28">
        <v>34</v>
      </c>
      <c r="AZ29" s="29" t="s">
        <v>37</v>
      </c>
    </row>
    <row r="30" spans="1:53" ht="12.75">
      <c r="A30" s="1">
        <v>26</v>
      </c>
      <c r="B30" s="48" t="s">
        <v>22</v>
      </c>
      <c r="C30" s="33" t="s">
        <v>30</v>
      </c>
      <c r="D30" s="3">
        <v>0.8</v>
      </c>
      <c r="E30" s="5">
        <v>1</v>
      </c>
      <c r="F30" s="12">
        <v>15296.875</v>
      </c>
      <c r="G30" s="4">
        <f t="shared" si="0"/>
        <v>12237.5</v>
      </c>
      <c r="H30" s="4">
        <f t="shared" si="1"/>
        <v>12237.5</v>
      </c>
      <c r="I30" s="4">
        <f t="shared" si="2"/>
        <v>12237.5</v>
      </c>
      <c r="J30" s="36">
        <f t="shared" si="3"/>
        <v>11450.29</v>
      </c>
      <c r="K30" s="39">
        <f t="shared" si="4"/>
        <v>11450</v>
      </c>
      <c r="L30" s="44">
        <v>1000</v>
      </c>
      <c r="M30" s="39">
        <v>5957</v>
      </c>
      <c r="N30" s="44">
        <f t="shared" si="5"/>
        <v>993</v>
      </c>
      <c r="O30" s="44">
        <f t="shared" si="6"/>
        <v>993</v>
      </c>
      <c r="P30" s="44">
        <f t="shared" si="7"/>
        <v>993</v>
      </c>
      <c r="Q30" s="44">
        <f t="shared" si="8"/>
        <v>993</v>
      </c>
      <c r="R30" s="44">
        <f t="shared" si="9"/>
        <v>993</v>
      </c>
      <c r="S30" s="44"/>
      <c r="T30" s="44">
        <f t="shared" si="10"/>
        <v>992</v>
      </c>
      <c r="U30" s="44">
        <f t="shared" si="11"/>
        <v>5957</v>
      </c>
      <c r="V30" s="44"/>
      <c r="W30" s="44"/>
      <c r="X30" s="89">
        <v>1145</v>
      </c>
      <c r="Y30" s="89">
        <v>1230</v>
      </c>
      <c r="Z30" s="89">
        <v>1145</v>
      </c>
      <c r="AA30" s="89">
        <v>1059</v>
      </c>
      <c r="AB30" s="44">
        <v>361</v>
      </c>
      <c r="AC30" s="95">
        <f t="shared" si="12"/>
        <v>2651</v>
      </c>
      <c r="AD30" s="95">
        <f t="shared" si="13"/>
        <v>362</v>
      </c>
      <c r="AE30" s="95">
        <v>360</v>
      </c>
      <c r="AF30" s="95">
        <f t="shared" si="14"/>
        <v>2649</v>
      </c>
      <c r="AG30" s="95">
        <f t="shared" si="15"/>
        <v>2</v>
      </c>
      <c r="AH30" s="98">
        <v>2649</v>
      </c>
      <c r="AI30" s="98">
        <v>2</v>
      </c>
      <c r="AJ30" s="98">
        <v>58.66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91">
        <f t="shared" si="16"/>
        <v>1506</v>
      </c>
      <c r="AU30" s="83">
        <f t="shared" si="17"/>
        <v>2651</v>
      </c>
      <c r="AV30" s="18" t="s">
        <v>33</v>
      </c>
      <c r="AW30" s="16"/>
      <c r="AX30" s="25">
        <v>3</v>
      </c>
      <c r="AY30" s="28">
        <v>34</v>
      </c>
      <c r="AZ30" s="18" t="s">
        <v>37</v>
      </c>
      <c r="BA30" s="41" t="s">
        <v>53</v>
      </c>
    </row>
    <row r="31" spans="1:52" ht="12.75">
      <c r="A31" s="1">
        <v>27</v>
      </c>
      <c r="B31" s="48" t="s">
        <v>23</v>
      </c>
      <c r="C31" s="33" t="s">
        <v>30</v>
      </c>
      <c r="D31" s="3">
        <v>0.8</v>
      </c>
      <c r="E31" s="3">
        <v>1.5</v>
      </c>
      <c r="F31" s="12">
        <v>15296.875</v>
      </c>
      <c r="G31" s="4">
        <f t="shared" si="0"/>
        <v>12237.5</v>
      </c>
      <c r="H31" s="4">
        <f t="shared" si="1"/>
        <v>12237.5</v>
      </c>
      <c r="I31" s="4">
        <f t="shared" si="2"/>
        <v>18356.25</v>
      </c>
      <c r="J31" s="36">
        <f t="shared" si="3"/>
        <v>17175.44</v>
      </c>
      <c r="K31" s="39">
        <f t="shared" si="4"/>
        <v>17175</v>
      </c>
      <c r="L31" s="44">
        <v>1400</v>
      </c>
      <c r="M31" s="39">
        <v>8936</v>
      </c>
      <c r="N31" s="44">
        <f t="shared" si="5"/>
        <v>1489</v>
      </c>
      <c r="O31" s="44">
        <f t="shared" si="6"/>
        <v>1489</v>
      </c>
      <c r="P31" s="44">
        <f t="shared" si="7"/>
        <v>1489</v>
      </c>
      <c r="Q31" s="44">
        <f t="shared" si="8"/>
        <v>1489</v>
      </c>
      <c r="R31" s="44">
        <f t="shared" si="9"/>
        <v>1489</v>
      </c>
      <c r="S31" s="44"/>
      <c r="T31" s="44">
        <f t="shared" si="10"/>
        <v>1491</v>
      </c>
      <c r="U31" s="44">
        <f t="shared" si="11"/>
        <v>8936</v>
      </c>
      <c r="V31" s="44"/>
      <c r="W31" s="44"/>
      <c r="X31" s="89">
        <v>1716</v>
      </c>
      <c r="Y31" s="89">
        <v>1740.6</v>
      </c>
      <c r="Z31" s="89">
        <v>1716</v>
      </c>
      <c r="AA31" s="89">
        <v>1683.6</v>
      </c>
      <c r="AB31" s="44">
        <v>541</v>
      </c>
      <c r="AC31" s="95">
        <f t="shared" si="12"/>
        <v>3973</v>
      </c>
      <c r="AD31" s="95">
        <f t="shared" si="13"/>
        <v>548.8000000000002</v>
      </c>
      <c r="AE31" s="95">
        <v>540</v>
      </c>
      <c r="AF31" s="95">
        <f t="shared" si="14"/>
        <v>3964.2</v>
      </c>
      <c r="AG31" s="95">
        <f t="shared" si="15"/>
        <v>8.800000000000182</v>
      </c>
      <c r="AH31" s="83"/>
      <c r="AI31" s="83">
        <v>8.8</v>
      </c>
      <c r="AJ31" s="83">
        <v>0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91">
        <f t="shared" si="16"/>
        <v>2257</v>
      </c>
      <c r="AU31" s="83">
        <f t="shared" si="17"/>
        <v>3973</v>
      </c>
      <c r="AV31" s="18"/>
      <c r="AW31" s="16" t="s">
        <v>47</v>
      </c>
      <c r="AX31" s="25">
        <v>3</v>
      </c>
      <c r="AY31" s="28">
        <v>34</v>
      </c>
      <c r="AZ31" s="29" t="s">
        <v>37</v>
      </c>
    </row>
    <row r="32" spans="1:52" ht="12.75">
      <c r="A32" s="1">
        <v>28</v>
      </c>
      <c r="B32" s="48" t="s">
        <v>24</v>
      </c>
      <c r="C32" s="33" t="s">
        <v>30</v>
      </c>
      <c r="D32" s="3">
        <v>0.8</v>
      </c>
      <c r="E32" s="3">
        <v>1.5</v>
      </c>
      <c r="F32" s="12">
        <v>15296.875</v>
      </c>
      <c r="G32" s="4">
        <f t="shared" si="0"/>
        <v>12237.5</v>
      </c>
      <c r="H32" s="4">
        <f t="shared" si="1"/>
        <v>12237.5</v>
      </c>
      <c r="I32" s="4">
        <f t="shared" si="2"/>
        <v>18356.25</v>
      </c>
      <c r="J32" s="36">
        <f t="shared" si="3"/>
        <v>17175.44</v>
      </c>
      <c r="K32" s="39">
        <f t="shared" si="4"/>
        <v>17175</v>
      </c>
      <c r="L32" s="44">
        <v>1400</v>
      </c>
      <c r="M32" s="39">
        <v>8936</v>
      </c>
      <c r="N32" s="44">
        <f t="shared" si="5"/>
        <v>1489</v>
      </c>
      <c r="O32" s="44">
        <f t="shared" si="6"/>
        <v>1489</v>
      </c>
      <c r="P32" s="44">
        <f t="shared" si="7"/>
        <v>1489</v>
      </c>
      <c r="Q32" s="44">
        <f t="shared" si="8"/>
        <v>1489</v>
      </c>
      <c r="R32" s="44">
        <f t="shared" si="9"/>
        <v>1489</v>
      </c>
      <c r="S32" s="44"/>
      <c r="T32" s="44">
        <f t="shared" si="10"/>
        <v>1491</v>
      </c>
      <c r="U32" s="44">
        <f t="shared" si="11"/>
        <v>8936</v>
      </c>
      <c r="V32" s="44"/>
      <c r="W32" s="44"/>
      <c r="X32" s="89">
        <v>1716</v>
      </c>
      <c r="Y32" s="89">
        <v>1713.6</v>
      </c>
      <c r="Z32" s="89">
        <v>1716</v>
      </c>
      <c r="AA32" s="89">
        <v>1678.2</v>
      </c>
      <c r="AB32" s="44">
        <v>541</v>
      </c>
      <c r="AC32" s="95">
        <f t="shared" si="12"/>
        <v>3973</v>
      </c>
      <c r="AD32" s="96">
        <f t="shared" si="13"/>
        <v>581.2</v>
      </c>
      <c r="AE32" s="96">
        <v>570</v>
      </c>
      <c r="AF32" s="95">
        <f t="shared" si="14"/>
        <v>3961.7999999999997</v>
      </c>
      <c r="AG32" s="95">
        <f t="shared" si="15"/>
        <v>11.200000000000273</v>
      </c>
      <c r="AH32" s="83"/>
      <c r="AI32" s="83">
        <v>11.2</v>
      </c>
      <c r="AJ32" s="83">
        <v>0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91">
        <f t="shared" si="16"/>
        <v>2257</v>
      </c>
      <c r="AU32" s="83">
        <f t="shared" si="17"/>
        <v>3973</v>
      </c>
      <c r="AV32" s="18"/>
      <c r="AW32" s="16" t="s">
        <v>42</v>
      </c>
      <c r="AX32" s="25">
        <v>3</v>
      </c>
      <c r="AY32" s="28">
        <v>34</v>
      </c>
      <c r="AZ32" s="29" t="s">
        <v>37</v>
      </c>
    </row>
    <row r="33" spans="1:52" ht="12.75">
      <c r="A33" s="1">
        <v>29</v>
      </c>
      <c r="B33" s="49" t="s">
        <v>25</v>
      </c>
      <c r="C33" s="34" t="s">
        <v>30</v>
      </c>
      <c r="D33" s="9">
        <v>0.8</v>
      </c>
      <c r="E33" s="9">
        <v>1.5</v>
      </c>
      <c r="F33" s="12">
        <v>15296.875</v>
      </c>
      <c r="G33" s="4">
        <f t="shared" si="0"/>
        <v>12237.5</v>
      </c>
      <c r="H33" s="4">
        <f t="shared" si="1"/>
        <v>12237.5</v>
      </c>
      <c r="I33" s="4">
        <f t="shared" si="2"/>
        <v>18356.25</v>
      </c>
      <c r="J33" s="36">
        <f t="shared" si="3"/>
        <v>17175.44</v>
      </c>
      <c r="K33" s="39">
        <f t="shared" si="4"/>
        <v>17175</v>
      </c>
      <c r="L33" s="51">
        <v>1250</v>
      </c>
      <c r="M33" s="50">
        <v>7884</v>
      </c>
      <c r="N33" s="44">
        <f t="shared" si="5"/>
        <v>1314</v>
      </c>
      <c r="O33" s="44">
        <f t="shared" si="6"/>
        <v>1314</v>
      </c>
      <c r="P33" s="44">
        <f t="shared" si="7"/>
        <v>1314</v>
      </c>
      <c r="Q33" s="44">
        <f t="shared" si="8"/>
        <v>1314</v>
      </c>
      <c r="R33" s="44">
        <f t="shared" si="9"/>
        <v>1314</v>
      </c>
      <c r="S33" s="51"/>
      <c r="T33" s="44">
        <f t="shared" si="10"/>
        <v>1314</v>
      </c>
      <c r="U33" s="44">
        <f t="shared" si="11"/>
        <v>7884</v>
      </c>
      <c r="V33" s="51"/>
      <c r="W33" s="51"/>
      <c r="X33" s="90">
        <v>1716</v>
      </c>
      <c r="Y33" s="90">
        <v>1761.6</v>
      </c>
      <c r="Z33" s="90">
        <v>1716</v>
      </c>
      <c r="AA33" s="90">
        <v>1668</v>
      </c>
      <c r="AB33" s="44">
        <v>541</v>
      </c>
      <c r="AC33" s="95">
        <f t="shared" si="12"/>
        <v>3973</v>
      </c>
      <c r="AD33" s="96">
        <f t="shared" si="13"/>
        <v>543.4000000000001</v>
      </c>
      <c r="AE33" s="96">
        <v>540</v>
      </c>
      <c r="AF33" s="95">
        <f t="shared" si="14"/>
        <v>3969.6</v>
      </c>
      <c r="AG33" s="95">
        <f t="shared" si="15"/>
        <v>3.400000000000091</v>
      </c>
      <c r="AH33" s="97"/>
      <c r="AI33" s="97">
        <v>3.4</v>
      </c>
      <c r="AJ33" s="97">
        <v>0</v>
      </c>
      <c r="AK33" s="51"/>
      <c r="AL33" s="51"/>
      <c r="AM33" s="51"/>
      <c r="AN33" s="51"/>
      <c r="AO33" s="51"/>
      <c r="AP33" s="51"/>
      <c r="AQ33" s="51"/>
      <c r="AR33" s="51"/>
      <c r="AS33" s="44"/>
      <c r="AT33" s="91">
        <f t="shared" si="16"/>
        <v>2257</v>
      </c>
      <c r="AU33" s="83">
        <f t="shared" si="17"/>
        <v>3973</v>
      </c>
      <c r="AV33" s="42"/>
      <c r="AW33" s="21" t="s">
        <v>55</v>
      </c>
      <c r="AX33" s="25">
        <v>3</v>
      </c>
      <c r="AY33" s="31">
        <v>30</v>
      </c>
      <c r="AZ33" s="32" t="s">
        <v>37</v>
      </c>
    </row>
    <row r="34" spans="1:52" ht="12.75">
      <c r="A34" s="1">
        <v>30</v>
      </c>
      <c r="B34" s="48" t="s">
        <v>64</v>
      </c>
      <c r="C34" s="34" t="s">
        <v>30</v>
      </c>
      <c r="D34" s="9">
        <v>0.8</v>
      </c>
      <c r="E34" s="3">
        <v>1</v>
      </c>
      <c r="F34" s="12">
        <v>15296.875</v>
      </c>
      <c r="G34" s="4">
        <f t="shared" si="0"/>
        <v>12237.5</v>
      </c>
      <c r="H34" s="4">
        <f t="shared" si="1"/>
        <v>12237.5</v>
      </c>
      <c r="I34" s="4">
        <f t="shared" si="2"/>
        <v>12237.5</v>
      </c>
      <c r="J34" s="36">
        <f t="shared" si="3"/>
        <v>11450.29</v>
      </c>
      <c r="K34" s="39">
        <f t="shared" si="4"/>
        <v>11450</v>
      </c>
      <c r="L34" s="65"/>
      <c r="M34" s="39">
        <v>5870</v>
      </c>
      <c r="N34" s="44">
        <f t="shared" si="5"/>
        <v>978</v>
      </c>
      <c r="O34" s="44">
        <f t="shared" si="6"/>
        <v>978</v>
      </c>
      <c r="P34" s="44">
        <f t="shared" si="7"/>
        <v>978</v>
      </c>
      <c r="Q34" s="44">
        <f t="shared" si="8"/>
        <v>978</v>
      </c>
      <c r="R34" s="44">
        <f t="shared" si="9"/>
        <v>978</v>
      </c>
      <c r="S34" s="65"/>
      <c r="T34" s="44">
        <f t="shared" si="10"/>
        <v>980</v>
      </c>
      <c r="U34" s="44">
        <f t="shared" si="11"/>
        <v>5870</v>
      </c>
      <c r="V34" s="44"/>
      <c r="W34" s="44"/>
      <c r="X34" s="89">
        <v>1145</v>
      </c>
      <c r="Y34" s="89">
        <v>1161</v>
      </c>
      <c r="Z34" s="89">
        <v>1145</v>
      </c>
      <c r="AA34" s="89">
        <v>1116</v>
      </c>
      <c r="AB34" s="44">
        <v>361</v>
      </c>
      <c r="AC34" s="95">
        <f t="shared" si="12"/>
        <v>2651</v>
      </c>
      <c r="AD34" s="96">
        <f t="shared" si="13"/>
        <v>374</v>
      </c>
      <c r="AE34" s="96">
        <v>363</v>
      </c>
      <c r="AF34" s="95">
        <f t="shared" si="14"/>
        <v>2640</v>
      </c>
      <c r="AG34" s="95">
        <f t="shared" si="15"/>
        <v>11</v>
      </c>
      <c r="AH34" s="83"/>
      <c r="AI34" s="83">
        <v>11</v>
      </c>
      <c r="AJ34" s="83">
        <v>0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91">
        <f t="shared" si="16"/>
        <v>1506</v>
      </c>
      <c r="AU34" s="83">
        <f t="shared" si="17"/>
        <v>2651</v>
      </c>
      <c r="AV34" s="18" t="s">
        <v>33</v>
      </c>
      <c r="AW34" s="16"/>
      <c r="AX34" s="25">
        <v>3</v>
      </c>
      <c r="AY34" s="66">
        <v>33.5</v>
      </c>
      <c r="AZ34" s="32" t="s">
        <v>37</v>
      </c>
    </row>
    <row r="35" spans="1:52" ht="12.75">
      <c r="A35" s="1">
        <v>31</v>
      </c>
      <c r="B35" s="48" t="s">
        <v>65</v>
      </c>
      <c r="C35" s="34" t="s">
        <v>30</v>
      </c>
      <c r="D35" s="9">
        <v>0.8</v>
      </c>
      <c r="E35" s="3">
        <v>1</v>
      </c>
      <c r="F35" s="12">
        <v>15296.875</v>
      </c>
      <c r="G35" s="4">
        <f t="shared" si="0"/>
        <v>12237.5</v>
      </c>
      <c r="H35" s="4">
        <f t="shared" si="1"/>
        <v>12237.5</v>
      </c>
      <c r="I35" s="4">
        <f t="shared" si="2"/>
        <v>12237.5</v>
      </c>
      <c r="J35" s="36">
        <f>ROUND(I35*489500/523153.22,2)-0.08</f>
        <v>11450.210000000001</v>
      </c>
      <c r="K35" s="39">
        <f>ROUND(J35,0)+4</f>
        <v>11454</v>
      </c>
      <c r="L35" s="65"/>
      <c r="M35" s="39">
        <v>5962</v>
      </c>
      <c r="N35" s="44">
        <f t="shared" si="5"/>
        <v>994</v>
      </c>
      <c r="O35" s="44">
        <f t="shared" si="6"/>
        <v>994</v>
      </c>
      <c r="P35" s="44">
        <f t="shared" si="7"/>
        <v>994</v>
      </c>
      <c r="Q35" s="44">
        <f t="shared" si="8"/>
        <v>994</v>
      </c>
      <c r="R35" s="44">
        <f t="shared" si="9"/>
        <v>994</v>
      </c>
      <c r="S35" s="65"/>
      <c r="T35" s="44">
        <f t="shared" si="10"/>
        <v>992</v>
      </c>
      <c r="U35" s="44">
        <f t="shared" si="11"/>
        <v>5962</v>
      </c>
      <c r="V35" s="44"/>
      <c r="W35" s="44"/>
      <c r="X35" s="89">
        <v>1147</v>
      </c>
      <c r="Y35" s="89">
        <v>1146</v>
      </c>
      <c r="Z35" s="89">
        <v>1147</v>
      </c>
      <c r="AA35" s="89">
        <v>1143</v>
      </c>
      <c r="AB35" s="44">
        <f>363+7</f>
        <v>370</v>
      </c>
      <c r="AC35" s="95">
        <f t="shared" si="12"/>
        <v>2664</v>
      </c>
      <c r="AD35" s="95">
        <f t="shared" si="13"/>
        <v>375</v>
      </c>
      <c r="AE35" s="95">
        <v>366</v>
      </c>
      <c r="AF35" s="95">
        <f t="shared" si="14"/>
        <v>2655</v>
      </c>
      <c r="AG35" s="95">
        <f t="shared" si="15"/>
        <v>9</v>
      </c>
      <c r="AH35" s="83"/>
      <c r="AI35" s="83">
        <v>9</v>
      </c>
      <c r="AJ35" s="83">
        <v>0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91">
        <f t="shared" si="16"/>
        <v>1517</v>
      </c>
      <c r="AU35" s="83">
        <f t="shared" si="17"/>
        <v>2664</v>
      </c>
      <c r="AV35" s="18" t="s">
        <v>33</v>
      </c>
      <c r="AW35" s="16"/>
      <c r="AX35" s="25">
        <v>3</v>
      </c>
      <c r="AY35" s="66">
        <v>34</v>
      </c>
      <c r="AZ35" s="32" t="s">
        <v>37</v>
      </c>
    </row>
    <row r="36" spans="1:52" ht="14.25" customHeight="1" thickBot="1">
      <c r="A36" s="52"/>
      <c r="B36" s="53" t="s">
        <v>32</v>
      </c>
      <c r="C36" s="54"/>
      <c r="D36" s="55"/>
      <c r="E36" s="56"/>
      <c r="F36" s="57">
        <f aca="true" t="shared" si="18" ref="F36:K36">SUM(F5:F35)</f>
        <v>474203.125</v>
      </c>
      <c r="G36" s="58">
        <f t="shared" si="18"/>
        <v>449728.2100000001</v>
      </c>
      <c r="H36" s="58">
        <f t="shared" si="18"/>
        <v>449728.2100000001</v>
      </c>
      <c r="I36" s="58">
        <f t="shared" si="18"/>
        <v>507856.3400000001</v>
      </c>
      <c r="J36" s="59">
        <f t="shared" si="18"/>
        <v>475187.1299999999</v>
      </c>
      <c r="K36" s="69">
        <f t="shared" si="18"/>
        <v>475187</v>
      </c>
      <c r="L36" s="60">
        <f>SUM(L5:L33)</f>
        <v>37800</v>
      </c>
      <c r="M36" s="59">
        <f aca="true" t="shared" si="19" ref="M36:R36">SUM(M5:M35)</f>
        <v>245273</v>
      </c>
      <c r="N36" s="60">
        <f t="shared" si="19"/>
        <v>40879</v>
      </c>
      <c r="O36" s="60">
        <f t="shared" si="19"/>
        <v>40879</v>
      </c>
      <c r="P36" s="60">
        <f t="shared" si="19"/>
        <v>40879</v>
      </c>
      <c r="Q36" s="60">
        <f t="shared" si="19"/>
        <v>40879</v>
      </c>
      <c r="R36" s="60">
        <f t="shared" si="19"/>
        <v>40879</v>
      </c>
      <c r="S36" s="60" t="e">
        <f>K36-L36-#REF!-N36-O36-P36-Q36-R36</f>
        <v>#REF!</v>
      </c>
      <c r="T36" s="60">
        <f>SUM(T5:T35)</f>
        <v>40878</v>
      </c>
      <c r="U36" s="60">
        <f>SUM(U5:U35)</f>
        <v>245273</v>
      </c>
      <c r="V36" s="60">
        <v>44500</v>
      </c>
      <c r="W36" s="60"/>
      <c r="X36" s="60">
        <f aca="true" t="shared" si="20" ref="X36:AU36">SUM(X5:X35)</f>
        <v>47500</v>
      </c>
      <c r="Y36" s="60">
        <f t="shared" si="20"/>
        <v>47592.59999999999</v>
      </c>
      <c r="Z36" s="60">
        <f t="shared" si="20"/>
        <v>47500</v>
      </c>
      <c r="AA36" s="60">
        <f t="shared" si="20"/>
        <v>46901.39999999999</v>
      </c>
      <c r="AB36" s="60">
        <f t="shared" si="20"/>
        <v>15000</v>
      </c>
      <c r="AC36" s="94">
        <f t="shared" si="20"/>
        <v>110000</v>
      </c>
      <c r="AD36" s="94">
        <f t="shared" si="20"/>
        <v>15505.999999999998</v>
      </c>
      <c r="AE36" s="94">
        <f t="shared" si="20"/>
        <v>15198</v>
      </c>
      <c r="AF36" s="94">
        <f t="shared" si="20"/>
        <v>109692.00000000001</v>
      </c>
      <c r="AG36" s="94">
        <f t="shared" si="20"/>
        <v>307.99999999999955</v>
      </c>
      <c r="AH36" s="60">
        <v>13909.2</v>
      </c>
      <c r="AI36" s="60">
        <v>308</v>
      </c>
      <c r="AJ36" s="60">
        <v>308</v>
      </c>
      <c r="AK36" s="60">
        <f t="shared" si="20"/>
        <v>0</v>
      </c>
      <c r="AL36" s="60">
        <f t="shared" si="20"/>
        <v>0</v>
      </c>
      <c r="AM36" s="60">
        <f t="shared" si="20"/>
        <v>0</v>
      </c>
      <c r="AN36" s="60">
        <f t="shared" si="20"/>
        <v>0</v>
      </c>
      <c r="AO36" s="60">
        <f t="shared" si="20"/>
        <v>0</v>
      </c>
      <c r="AP36" s="60">
        <f t="shared" si="20"/>
        <v>0</v>
      </c>
      <c r="AQ36" s="60">
        <f t="shared" si="20"/>
        <v>0</v>
      </c>
      <c r="AR36" s="60">
        <f t="shared" si="20"/>
        <v>0</v>
      </c>
      <c r="AS36" s="60">
        <f t="shared" si="20"/>
        <v>0</v>
      </c>
      <c r="AT36" s="92">
        <f t="shared" si="20"/>
        <v>62500</v>
      </c>
      <c r="AU36" s="60">
        <f t="shared" si="20"/>
        <v>110000</v>
      </c>
      <c r="AV36" s="61"/>
      <c r="AW36" s="62"/>
      <c r="AX36" s="25"/>
      <c r="AY36" s="63"/>
      <c r="AZ36" s="64"/>
    </row>
    <row r="37" spans="3:51" ht="12.75">
      <c r="C37" s="14"/>
      <c r="D37" s="14"/>
      <c r="E37" s="14"/>
      <c r="F37" s="15"/>
      <c r="G37" s="14"/>
      <c r="H37" s="14"/>
      <c r="I37" s="15"/>
      <c r="J37" s="37"/>
      <c r="K37" s="39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7"/>
      <c r="Y37" s="37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W37" s="43"/>
      <c r="AX37" s="43"/>
      <c r="AY37" s="22"/>
    </row>
    <row r="38" spans="2:51" ht="12.75">
      <c r="B38" s="10"/>
      <c r="C38" s="14"/>
      <c r="D38" s="14"/>
      <c r="E38" s="14"/>
      <c r="F38" s="15"/>
      <c r="G38" s="14"/>
      <c r="H38" s="14"/>
      <c r="I38" s="15"/>
      <c r="J38" s="37"/>
      <c r="K38" s="87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37"/>
      <c r="Y38" s="37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23"/>
      <c r="AW38" s="43"/>
      <c r="AX38" s="43"/>
      <c r="AY38" s="22"/>
    </row>
    <row r="40" ht="13.5">
      <c r="F40" s="68">
        <v>44500</v>
      </c>
    </row>
    <row r="41" ht="12.75">
      <c r="F41" s="47"/>
    </row>
    <row r="42" ht="12.75">
      <c r="F42" s="67"/>
    </row>
    <row r="43" ht="12.75">
      <c r="F43" s="46"/>
    </row>
  </sheetData>
  <printOptions/>
  <pageMargins left="0" right="0" top="0.1968503937007874" bottom="0.1968503937007874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X43"/>
  <sheetViews>
    <sheetView workbookViewId="0" topLeftCell="A1">
      <pane ySplit="4" topLeftCell="BM11" activePane="bottomLeft" state="frozen"/>
      <selection pane="topLeft" activeCell="A1" sqref="A1"/>
      <selection pane="bottomLeft" activeCell="AH9" sqref="AH9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3.28125" style="0" customWidth="1"/>
    <col min="4" max="4" width="3.421875" style="0" customWidth="1"/>
    <col min="5" max="5" width="3.7109375" style="0" customWidth="1"/>
    <col min="6" max="6" width="8.140625" style="13" hidden="1" customWidth="1"/>
    <col min="7" max="7" width="8.00390625" style="11" hidden="1" customWidth="1"/>
    <col min="8" max="8" width="8.28125" style="11" hidden="1" customWidth="1"/>
    <col min="9" max="9" width="8.140625" style="11" hidden="1" customWidth="1"/>
    <col min="10" max="10" width="8.00390625" style="38" hidden="1" customWidth="1"/>
    <col min="11" max="11" width="8.00390625" style="84" hidden="1" customWidth="1"/>
    <col min="12" max="12" width="7.421875" style="85" hidden="1" customWidth="1"/>
    <col min="13" max="13" width="8.8515625" style="85" hidden="1" customWidth="1"/>
    <col min="14" max="15" width="7.140625" style="85" hidden="1" customWidth="1"/>
    <col min="16" max="16" width="7.28125" style="85" hidden="1" customWidth="1"/>
    <col min="17" max="17" width="7.421875" style="85" hidden="1" customWidth="1"/>
    <col min="18" max="19" width="7.28125" style="85" hidden="1" customWidth="1"/>
    <col min="20" max="20" width="8.57421875" style="85" hidden="1" customWidth="1"/>
    <col min="21" max="23" width="8.421875" style="85" hidden="1" customWidth="1"/>
    <col min="24" max="25" width="7.421875" style="88" customWidth="1"/>
    <col min="26" max="28" width="8.421875" style="85" customWidth="1"/>
    <col min="29" max="31" width="9.421875" style="85" customWidth="1"/>
    <col min="32" max="32" width="10.00390625" style="85" customWidth="1"/>
    <col min="33" max="33" width="9.00390625" style="85" customWidth="1"/>
    <col min="34" max="34" width="6.8515625" style="85" customWidth="1"/>
    <col min="35" max="36" width="6.57421875" style="85" customWidth="1"/>
    <col min="37" max="37" width="6.00390625" style="85" customWidth="1"/>
    <col min="38" max="38" width="6.421875" style="85" customWidth="1"/>
    <col min="39" max="39" width="6.57421875" style="85" customWidth="1"/>
    <col min="40" max="40" width="6.28125" style="85" customWidth="1"/>
    <col min="41" max="41" width="7.7109375" style="85" customWidth="1"/>
    <col min="42" max="44" width="8.421875" style="85" customWidth="1"/>
    <col min="45" max="45" width="4.8515625" style="24" customWidth="1"/>
    <col min="46" max="46" width="8.7109375" style="24" customWidth="1"/>
    <col min="47" max="47" width="5.28125" style="24" customWidth="1"/>
    <col min="48" max="48" width="4.28125" style="24" customWidth="1"/>
    <col min="49" max="49" width="4.28125" style="23" customWidth="1"/>
    <col min="50" max="50" width="18.8515625" style="41" customWidth="1"/>
  </cols>
  <sheetData>
    <row r="3" ht="6" customHeight="1" thickBot="1"/>
    <row r="4" spans="1:50" s="81" customFormat="1" ht="82.5" customHeight="1" thickBot="1">
      <c r="A4" s="70" t="s">
        <v>26</v>
      </c>
      <c r="B4" s="71" t="s">
        <v>27</v>
      </c>
      <c r="C4" s="72" t="s">
        <v>28</v>
      </c>
      <c r="D4" s="73"/>
      <c r="E4" s="73"/>
      <c r="F4" s="35" t="s">
        <v>54</v>
      </c>
      <c r="G4" s="74" t="s">
        <v>48</v>
      </c>
      <c r="H4" s="74" t="s">
        <v>51</v>
      </c>
      <c r="I4" s="74" t="s">
        <v>49</v>
      </c>
      <c r="J4" s="74" t="s">
        <v>50</v>
      </c>
      <c r="K4" s="75" t="s">
        <v>70</v>
      </c>
      <c r="L4" s="76" t="s">
        <v>62</v>
      </c>
      <c r="M4" s="75" t="s">
        <v>66</v>
      </c>
      <c r="N4" s="76" t="s">
        <v>56</v>
      </c>
      <c r="O4" s="76" t="s">
        <v>57</v>
      </c>
      <c r="P4" s="76" t="s">
        <v>58</v>
      </c>
      <c r="Q4" s="76" t="s">
        <v>59</v>
      </c>
      <c r="R4" s="76" t="s">
        <v>60</v>
      </c>
      <c r="S4" s="76" t="s">
        <v>61</v>
      </c>
      <c r="T4" s="76" t="s">
        <v>61</v>
      </c>
      <c r="U4" s="76" t="s">
        <v>67</v>
      </c>
      <c r="V4" s="76"/>
      <c r="W4" s="76"/>
      <c r="X4" s="76" t="s">
        <v>76</v>
      </c>
      <c r="Y4" s="76" t="s">
        <v>75</v>
      </c>
      <c r="Z4" s="82">
        <v>41306</v>
      </c>
      <c r="AA4" s="76" t="s">
        <v>74</v>
      </c>
      <c r="AB4" s="82">
        <v>41334</v>
      </c>
      <c r="AC4" s="93" t="s">
        <v>73</v>
      </c>
      <c r="AD4" s="93" t="s">
        <v>77</v>
      </c>
      <c r="AE4" s="93" t="s">
        <v>79</v>
      </c>
      <c r="AF4" s="93" t="s">
        <v>80</v>
      </c>
      <c r="AG4" s="93" t="s">
        <v>81</v>
      </c>
      <c r="AH4" s="82">
        <v>41365</v>
      </c>
      <c r="AI4" s="82">
        <v>41395</v>
      </c>
      <c r="AJ4" s="82">
        <v>41426</v>
      </c>
      <c r="AK4" s="82">
        <v>41456</v>
      </c>
      <c r="AL4" s="82">
        <v>41487</v>
      </c>
      <c r="AM4" s="82">
        <v>41518</v>
      </c>
      <c r="AN4" s="82">
        <v>41548</v>
      </c>
      <c r="AO4" s="82" t="s">
        <v>78</v>
      </c>
      <c r="AP4" s="82">
        <v>41609</v>
      </c>
      <c r="AQ4" s="82" t="s">
        <v>71</v>
      </c>
      <c r="AR4" s="82" t="s">
        <v>72</v>
      </c>
      <c r="AS4" s="77" t="s">
        <v>33</v>
      </c>
      <c r="AT4" s="77" t="s">
        <v>34</v>
      </c>
      <c r="AU4" s="78" t="s">
        <v>69</v>
      </c>
      <c r="AV4" s="78" t="s">
        <v>35</v>
      </c>
      <c r="AW4" s="79" t="s">
        <v>36</v>
      </c>
      <c r="AX4" s="80"/>
    </row>
    <row r="5" spans="1:49" ht="13.5" customHeight="1">
      <c r="A5" s="1">
        <v>1</v>
      </c>
      <c r="B5" s="48" t="s">
        <v>63</v>
      </c>
      <c r="C5" s="33" t="s">
        <v>30</v>
      </c>
      <c r="D5" s="3">
        <v>0.8</v>
      </c>
      <c r="E5" s="3">
        <v>1.5</v>
      </c>
      <c r="F5" s="12">
        <v>15296.875</v>
      </c>
      <c r="G5" s="4">
        <f aca="true" t="shared" si="0" ref="G5:G35">ROUND(F5*D5,2)</f>
        <v>12237.5</v>
      </c>
      <c r="H5" s="4">
        <f aca="true" t="shared" si="1" ref="H5:H35">ROUND(G5*AU5/AU5,2)</f>
        <v>12237.5</v>
      </c>
      <c r="I5" s="4">
        <f aca="true" t="shared" si="2" ref="I5:I35">ROUND(H5*E5,2)</f>
        <v>18356.25</v>
      </c>
      <c r="J5" s="36">
        <f aca="true" t="shared" si="3" ref="J5:J34">ROUND(I5*489500/523153.22,2)</f>
        <v>17175.44</v>
      </c>
      <c r="K5" s="39">
        <f aca="true" t="shared" si="4" ref="K5:K34">ROUND(J5,0)</f>
        <v>17175</v>
      </c>
      <c r="L5" s="44">
        <v>1400</v>
      </c>
      <c r="M5" s="39">
        <v>8936</v>
      </c>
      <c r="N5" s="44">
        <f aca="true" t="shared" si="5" ref="N5:N35">ROUND(M5/6,0)</f>
        <v>1489</v>
      </c>
      <c r="O5" s="44">
        <f aca="true" t="shared" si="6" ref="O5:O35">ROUND(M5/6,0)</f>
        <v>1489</v>
      </c>
      <c r="P5" s="44">
        <f aca="true" t="shared" si="7" ref="P5:P35">ROUND(M5/6,0)</f>
        <v>1489</v>
      </c>
      <c r="Q5" s="44">
        <f aca="true" t="shared" si="8" ref="Q5:Q35">ROUND(M5/6,0)</f>
        <v>1489</v>
      </c>
      <c r="R5" s="44">
        <f aca="true" t="shared" si="9" ref="R5:R35">ROUND(M5/6,0)</f>
        <v>1489</v>
      </c>
      <c r="S5" s="44"/>
      <c r="T5" s="44">
        <f aca="true" t="shared" si="10" ref="T5:T35">M5-N5-O5-P5-Q5-R5</f>
        <v>1491</v>
      </c>
      <c r="U5" s="44">
        <f aca="true" t="shared" si="11" ref="U5:U35">SUM(N5+O5+P5+Q5+R5+T5)</f>
        <v>8936</v>
      </c>
      <c r="V5" s="44"/>
      <c r="W5" s="44"/>
      <c r="X5" s="89">
        <v>1716</v>
      </c>
      <c r="Y5" s="89">
        <v>1710</v>
      </c>
      <c r="Z5" s="89">
        <v>1716</v>
      </c>
      <c r="AA5" s="89">
        <v>1680</v>
      </c>
      <c r="AB5" s="44">
        <v>541</v>
      </c>
      <c r="AC5" s="95">
        <f>X5+Z5+AB5</f>
        <v>3973</v>
      </c>
      <c r="AD5" s="95">
        <f>AC5-Y5-AA5</f>
        <v>583</v>
      </c>
      <c r="AE5" s="95">
        <v>576</v>
      </c>
      <c r="AF5" s="95">
        <f>AE5+AA5+Y5</f>
        <v>3966</v>
      </c>
      <c r="AG5" s="95">
        <f>AC5-AF5</f>
        <v>7</v>
      </c>
      <c r="AH5" s="44"/>
      <c r="AI5" s="44"/>
      <c r="AJ5" s="44"/>
      <c r="AK5" s="44"/>
      <c r="AL5" s="44"/>
      <c r="AM5" s="44"/>
      <c r="AN5" s="44"/>
      <c r="AO5" s="44"/>
      <c r="AP5" s="44"/>
      <c r="AQ5" s="91">
        <f aca="true" t="shared" si="12" ref="AQ5:AQ35">Z5+AB5+AH5+AI5+AJ5+AK5+AL5+AM5+AN5+AO5+AP5</f>
        <v>2257</v>
      </c>
      <c r="AR5" s="83">
        <f>X5+Z5+AB5+AH5+AI5+AJ5+AK5+AL5+AM5+AN5+AO5+AP5</f>
        <v>3973</v>
      </c>
      <c r="AS5" s="18"/>
      <c r="AT5" s="27" t="s">
        <v>39</v>
      </c>
      <c r="AU5" s="25">
        <v>3</v>
      </c>
      <c r="AV5" s="25">
        <v>34</v>
      </c>
      <c r="AW5" s="26" t="s">
        <v>37</v>
      </c>
    </row>
    <row r="6" spans="1:49" ht="12.75">
      <c r="A6" s="1">
        <v>2</v>
      </c>
      <c r="B6" s="48" t="s">
        <v>0</v>
      </c>
      <c r="C6" s="2" t="s">
        <v>29</v>
      </c>
      <c r="D6" s="5">
        <v>1</v>
      </c>
      <c r="E6" s="5">
        <v>1</v>
      </c>
      <c r="F6" s="12">
        <v>15296.875</v>
      </c>
      <c r="G6" s="4">
        <f t="shared" si="0"/>
        <v>15296.88</v>
      </c>
      <c r="H6" s="4">
        <f t="shared" si="1"/>
        <v>15296.88</v>
      </c>
      <c r="I6" s="4">
        <f t="shared" si="2"/>
        <v>15296.88</v>
      </c>
      <c r="J6" s="36">
        <f t="shared" si="3"/>
        <v>14312.87</v>
      </c>
      <c r="K6" s="39">
        <f t="shared" si="4"/>
        <v>14313</v>
      </c>
      <c r="L6" s="44">
        <v>1200</v>
      </c>
      <c r="M6" s="39">
        <v>7446</v>
      </c>
      <c r="N6" s="44">
        <f t="shared" si="5"/>
        <v>1241</v>
      </c>
      <c r="O6" s="44">
        <f t="shared" si="6"/>
        <v>1241</v>
      </c>
      <c r="P6" s="44">
        <f t="shared" si="7"/>
        <v>1241</v>
      </c>
      <c r="Q6" s="44">
        <f t="shared" si="8"/>
        <v>1241</v>
      </c>
      <c r="R6" s="44">
        <f t="shared" si="9"/>
        <v>1241</v>
      </c>
      <c r="S6" s="44"/>
      <c r="T6" s="44">
        <f t="shared" si="10"/>
        <v>1241</v>
      </c>
      <c r="U6" s="44">
        <f t="shared" si="11"/>
        <v>7446</v>
      </c>
      <c r="V6" s="44"/>
      <c r="W6" s="44"/>
      <c r="X6" s="89">
        <v>1431</v>
      </c>
      <c r="Y6" s="89">
        <v>1434</v>
      </c>
      <c r="Z6" s="89">
        <v>1431</v>
      </c>
      <c r="AA6" s="89">
        <v>1422</v>
      </c>
      <c r="AB6" s="44">
        <v>452</v>
      </c>
      <c r="AC6" s="95">
        <f aca="true" t="shared" si="13" ref="AC6:AC35">X6+Z6+AB6</f>
        <v>3314</v>
      </c>
      <c r="AD6" s="95">
        <f aca="true" t="shared" si="14" ref="AD6:AD35">AC6-Y6-AA6</f>
        <v>458</v>
      </c>
      <c r="AE6" s="95">
        <v>444</v>
      </c>
      <c r="AF6" s="95">
        <f aca="true" t="shared" si="15" ref="AF6:AF35">AE6+AA6+Y6</f>
        <v>3300</v>
      </c>
      <c r="AG6" s="95">
        <f aca="true" t="shared" si="16" ref="AG6:AG35">AC6-AF6</f>
        <v>14</v>
      </c>
      <c r="AH6" s="44"/>
      <c r="AI6" s="44"/>
      <c r="AJ6" s="44"/>
      <c r="AK6" s="44"/>
      <c r="AL6" s="44"/>
      <c r="AM6" s="44"/>
      <c r="AN6" s="44"/>
      <c r="AO6" s="44"/>
      <c r="AP6" s="44"/>
      <c r="AQ6" s="91">
        <f t="shared" si="12"/>
        <v>1883</v>
      </c>
      <c r="AR6" s="83">
        <f aca="true" t="shared" si="17" ref="AR6:AR35">X6+Z6+AB6+AH6+AI6+AJ6+AK6+AL6+AM6+AN6+AO6+AP6</f>
        <v>3314</v>
      </c>
      <c r="AS6" s="26" t="s">
        <v>33</v>
      </c>
      <c r="AT6" s="16"/>
      <c r="AU6" s="25">
        <v>3</v>
      </c>
      <c r="AV6" s="25">
        <v>34</v>
      </c>
      <c r="AW6" s="26" t="s">
        <v>37</v>
      </c>
    </row>
    <row r="7" spans="1:50" ht="12.75">
      <c r="A7" s="1">
        <v>3</v>
      </c>
      <c r="B7" s="48" t="s">
        <v>1</v>
      </c>
      <c r="C7" s="6" t="s">
        <v>31</v>
      </c>
      <c r="D7" s="7">
        <v>1.2</v>
      </c>
      <c r="E7" s="5">
        <v>1</v>
      </c>
      <c r="F7" s="12">
        <v>15296.875</v>
      </c>
      <c r="G7" s="4">
        <f t="shared" si="0"/>
        <v>18356.25</v>
      </c>
      <c r="H7" s="4">
        <f t="shared" si="1"/>
        <v>18356.25</v>
      </c>
      <c r="I7" s="4">
        <f t="shared" si="2"/>
        <v>18356.25</v>
      </c>
      <c r="J7" s="36">
        <f t="shared" si="3"/>
        <v>17175.44</v>
      </c>
      <c r="K7" s="39">
        <f t="shared" si="4"/>
        <v>17175</v>
      </c>
      <c r="L7" s="44">
        <v>1500</v>
      </c>
      <c r="M7" s="39">
        <v>9199</v>
      </c>
      <c r="N7" s="44">
        <f t="shared" si="5"/>
        <v>1533</v>
      </c>
      <c r="O7" s="44">
        <f t="shared" si="6"/>
        <v>1533</v>
      </c>
      <c r="P7" s="44">
        <f t="shared" si="7"/>
        <v>1533</v>
      </c>
      <c r="Q7" s="44">
        <f t="shared" si="8"/>
        <v>1533</v>
      </c>
      <c r="R7" s="44">
        <f t="shared" si="9"/>
        <v>1533</v>
      </c>
      <c r="S7" s="44"/>
      <c r="T7" s="44">
        <f t="shared" si="10"/>
        <v>1534</v>
      </c>
      <c r="U7" s="44">
        <f t="shared" si="11"/>
        <v>9199</v>
      </c>
      <c r="V7" s="44"/>
      <c r="W7" s="44"/>
      <c r="X7" s="89">
        <v>1717</v>
      </c>
      <c r="Y7" s="89">
        <v>1746</v>
      </c>
      <c r="Z7" s="89">
        <v>1717</v>
      </c>
      <c r="AA7" s="89">
        <v>1620</v>
      </c>
      <c r="AB7" s="83">
        <v>542</v>
      </c>
      <c r="AC7" s="95">
        <f t="shared" si="13"/>
        <v>3976</v>
      </c>
      <c r="AD7" s="95">
        <f t="shared" si="14"/>
        <v>610</v>
      </c>
      <c r="AE7" s="95">
        <v>600</v>
      </c>
      <c r="AF7" s="95">
        <f t="shared" si="15"/>
        <v>3966</v>
      </c>
      <c r="AG7" s="95">
        <f t="shared" si="16"/>
        <v>10</v>
      </c>
      <c r="AH7" s="44"/>
      <c r="AI7" s="44"/>
      <c r="AJ7" s="44"/>
      <c r="AK7" s="44"/>
      <c r="AL7" s="44"/>
      <c r="AM7" s="44"/>
      <c r="AN7" s="44"/>
      <c r="AO7" s="44"/>
      <c r="AP7" s="44"/>
      <c r="AQ7" s="91">
        <f t="shared" si="12"/>
        <v>2259</v>
      </c>
      <c r="AR7" s="83">
        <f t="shared" si="17"/>
        <v>3976</v>
      </c>
      <c r="AS7" s="18" t="s">
        <v>33</v>
      </c>
      <c r="AT7" s="16"/>
      <c r="AU7" s="25">
        <v>3</v>
      </c>
      <c r="AV7" s="28">
        <v>35</v>
      </c>
      <c r="AW7" s="29" t="s">
        <v>38</v>
      </c>
      <c r="AX7" s="41" t="s">
        <v>52</v>
      </c>
    </row>
    <row r="8" spans="1:49" ht="12.75">
      <c r="A8" s="1">
        <v>4</v>
      </c>
      <c r="B8" s="48" t="s">
        <v>2</v>
      </c>
      <c r="C8" s="2" t="s">
        <v>29</v>
      </c>
      <c r="D8" s="5">
        <v>1</v>
      </c>
      <c r="E8" s="5">
        <v>1</v>
      </c>
      <c r="F8" s="12">
        <v>15296.875</v>
      </c>
      <c r="G8" s="4">
        <f t="shared" si="0"/>
        <v>15296.88</v>
      </c>
      <c r="H8" s="4">
        <f t="shared" si="1"/>
        <v>15296.88</v>
      </c>
      <c r="I8" s="4">
        <f t="shared" si="2"/>
        <v>15296.88</v>
      </c>
      <c r="J8" s="36">
        <f t="shared" si="3"/>
        <v>14312.87</v>
      </c>
      <c r="K8" s="39">
        <f t="shared" si="4"/>
        <v>14313</v>
      </c>
      <c r="L8" s="44">
        <v>1200</v>
      </c>
      <c r="M8" s="39">
        <v>7446</v>
      </c>
      <c r="N8" s="44">
        <f t="shared" si="5"/>
        <v>1241</v>
      </c>
      <c r="O8" s="44">
        <f t="shared" si="6"/>
        <v>1241</v>
      </c>
      <c r="P8" s="44">
        <f t="shared" si="7"/>
        <v>1241</v>
      </c>
      <c r="Q8" s="44">
        <f t="shared" si="8"/>
        <v>1241</v>
      </c>
      <c r="R8" s="44">
        <f t="shared" si="9"/>
        <v>1241</v>
      </c>
      <c r="S8" s="44"/>
      <c r="T8" s="44">
        <f t="shared" si="10"/>
        <v>1241</v>
      </c>
      <c r="U8" s="44">
        <f t="shared" si="11"/>
        <v>7446</v>
      </c>
      <c r="V8" s="44"/>
      <c r="W8" s="44"/>
      <c r="X8" s="89">
        <v>1431</v>
      </c>
      <c r="Y8" s="89">
        <v>1456.8</v>
      </c>
      <c r="Z8" s="89">
        <v>1431</v>
      </c>
      <c r="AA8" s="89">
        <v>1397.4</v>
      </c>
      <c r="AB8" s="44">
        <v>452</v>
      </c>
      <c r="AC8" s="95">
        <f t="shared" si="13"/>
        <v>3314</v>
      </c>
      <c r="AD8" s="95">
        <f t="shared" si="14"/>
        <v>459.79999999999995</v>
      </c>
      <c r="AE8" s="95">
        <v>459</v>
      </c>
      <c r="AF8" s="95">
        <f t="shared" si="15"/>
        <v>3313.2</v>
      </c>
      <c r="AG8" s="95">
        <f t="shared" si="16"/>
        <v>0.8000000000001819</v>
      </c>
      <c r="AH8" s="44"/>
      <c r="AI8" s="44"/>
      <c r="AJ8" s="44"/>
      <c r="AK8" s="44"/>
      <c r="AL8" s="44"/>
      <c r="AM8" s="44"/>
      <c r="AN8" s="44"/>
      <c r="AO8" s="44"/>
      <c r="AP8" s="44"/>
      <c r="AQ8" s="91">
        <f t="shared" si="12"/>
        <v>1883</v>
      </c>
      <c r="AR8" s="83">
        <f t="shared" si="17"/>
        <v>3314</v>
      </c>
      <c r="AS8" s="18" t="s">
        <v>33</v>
      </c>
      <c r="AT8" s="16"/>
      <c r="AU8" s="25">
        <v>3</v>
      </c>
      <c r="AV8" s="28">
        <v>34</v>
      </c>
      <c r="AW8" s="29" t="s">
        <v>37</v>
      </c>
    </row>
    <row r="9" spans="1:50" ht="12.75">
      <c r="A9" s="1">
        <v>5</v>
      </c>
      <c r="B9" s="48" t="s">
        <v>3</v>
      </c>
      <c r="C9" s="2" t="s">
        <v>29</v>
      </c>
      <c r="D9" s="5">
        <v>1</v>
      </c>
      <c r="E9" s="5">
        <v>1</v>
      </c>
      <c r="F9" s="12">
        <v>15296.875</v>
      </c>
      <c r="G9" s="4">
        <f t="shared" si="0"/>
        <v>15296.88</v>
      </c>
      <c r="H9" s="4">
        <f t="shared" si="1"/>
        <v>15296.88</v>
      </c>
      <c r="I9" s="4">
        <f t="shared" si="2"/>
        <v>15296.88</v>
      </c>
      <c r="J9" s="36">
        <f t="shared" si="3"/>
        <v>14312.87</v>
      </c>
      <c r="K9" s="39">
        <f t="shared" si="4"/>
        <v>14313</v>
      </c>
      <c r="L9" s="44">
        <v>1600</v>
      </c>
      <c r="M9" s="39">
        <v>7665</v>
      </c>
      <c r="N9" s="44">
        <f t="shared" si="5"/>
        <v>1278</v>
      </c>
      <c r="O9" s="44">
        <f t="shared" si="6"/>
        <v>1278</v>
      </c>
      <c r="P9" s="44">
        <f t="shared" si="7"/>
        <v>1278</v>
      </c>
      <c r="Q9" s="44">
        <f t="shared" si="8"/>
        <v>1278</v>
      </c>
      <c r="R9" s="44">
        <f t="shared" si="9"/>
        <v>1278</v>
      </c>
      <c r="S9" s="44"/>
      <c r="T9" s="44">
        <f t="shared" si="10"/>
        <v>1275</v>
      </c>
      <c r="U9" s="44">
        <f t="shared" si="11"/>
        <v>7665</v>
      </c>
      <c r="V9" s="44"/>
      <c r="W9" s="44"/>
      <c r="X9" s="89">
        <v>1431</v>
      </c>
      <c r="Y9" s="89">
        <v>1387.2</v>
      </c>
      <c r="Z9" s="89">
        <v>1431</v>
      </c>
      <c r="AA9" s="89">
        <v>1378.8</v>
      </c>
      <c r="AB9" s="44">
        <v>452</v>
      </c>
      <c r="AC9" s="95">
        <f t="shared" si="13"/>
        <v>3314</v>
      </c>
      <c r="AD9" s="95">
        <f t="shared" si="14"/>
        <v>548</v>
      </c>
      <c r="AE9" s="95">
        <v>534.6</v>
      </c>
      <c r="AF9" s="95">
        <f t="shared" si="15"/>
        <v>3300.6000000000004</v>
      </c>
      <c r="AG9" s="95">
        <f t="shared" si="16"/>
        <v>13.399999999999636</v>
      </c>
      <c r="AH9" s="44"/>
      <c r="AI9" s="44"/>
      <c r="AJ9" s="44"/>
      <c r="AK9" s="44"/>
      <c r="AL9" s="44"/>
      <c r="AM9" s="44"/>
      <c r="AN9" s="44"/>
      <c r="AO9" s="44"/>
      <c r="AP9" s="44"/>
      <c r="AQ9" s="91">
        <f t="shared" si="12"/>
        <v>1883</v>
      </c>
      <c r="AR9" s="83">
        <f t="shared" si="17"/>
        <v>3314</v>
      </c>
      <c r="AS9" s="26" t="s">
        <v>33</v>
      </c>
      <c r="AT9" s="16"/>
      <c r="AU9" s="25">
        <v>3</v>
      </c>
      <c r="AV9" s="25">
        <v>35</v>
      </c>
      <c r="AW9" s="26" t="s">
        <v>38</v>
      </c>
      <c r="AX9" s="41" t="s">
        <v>52</v>
      </c>
    </row>
    <row r="10" spans="1:49" ht="12.75">
      <c r="A10" s="1">
        <v>6</v>
      </c>
      <c r="B10" s="48" t="s">
        <v>68</v>
      </c>
      <c r="C10" s="2" t="s">
        <v>29</v>
      </c>
      <c r="D10" s="5">
        <v>1</v>
      </c>
      <c r="E10" s="5">
        <v>1</v>
      </c>
      <c r="F10" s="12">
        <v>15296.875</v>
      </c>
      <c r="G10" s="4">
        <f t="shared" si="0"/>
        <v>15296.88</v>
      </c>
      <c r="H10" s="4">
        <f t="shared" si="1"/>
        <v>15296.88</v>
      </c>
      <c r="I10" s="4">
        <f t="shared" si="2"/>
        <v>15296.88</v>
      </c>
      <c r="J10" s="36">
        <f t="shared" si="3"/>
        <v>14312.87</v>
      </c>
      <c r="K10" s="39">
        <f t="shared" si="4"/>
        <v>14313</v>
      </c>
      <c r="L10" s="44">
        <v>1200</v>
      </c>
      <c r="M10" s="39">
        <v>7665</v>
      </c>
      <c r="N10" s="44">
        <f t="shared" si="5"/>
        <v>1278</v>
      </c>
      <c r="O10" s="44">
        <f t="shared" si="6"/>
        <v>1278</v>
      </c>
      <c r="P10" s="44">
        <f t="shared" si="7"/>
        <v>1278</v>
      </c>
      <c r="Q10" s="44">
        <f t="shared" si="8"/>
        <v>1278</v>
      </c>
      <c r="R10" s="44">
        <f t="shared" si="9"/>
        <v>1278</v>
      </c>
      <c r="S10" s="44"/>
      <c r="T10" s="44">
        <f t="shared" si="10"/>
        <v>1275</v>
      </c>
      <c r="U10" s="44">
        <f t="shared" si="11"/>
        <v>7665</v>
      </c>
      <c r="V10" s="44"/>
      <c r="W10" s="44"/>
      <c r="X10" s="89">
        <v>1431</v>
      </c>
      <c r="Y10" s="89">
        <v>1418.4</v>
      </c>
      <c r="Z10" s="89">
        <v>1431</v>
      </c>
      <c r="AA10" s="89">
        <v>1429.2</v>
      </c>
      <c r="AB10" s="44">
        <v>452</v>
      </c>
      <c r="AC10" s="95">
        <f t="shared" si="13"/>
        <v>3314</v>
      </c>
      <c r="AD10" s="95">
        <f t="shared" si="14"/>
        <v>466.39999999999986</v>
      </c>
      <c r="AE10" s="95">
        <v>448.8</v>
      </c>
      <c r="AF10" s="95">
        <f t="shared" si="15"/>
        <v>3296.4</v>
      </c>
      <c r="AG10" s="95">
        <f t="shared" si="16"/>
        <v>17.59999999999991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91">
        <f t="shared" si="12"/>
        <v>1883</v>
      </c>
      <c r="AR10" s="83">
        <f t="shared" si="17"/>
        <v>3314</v>
      </c>
      <c r="AS10" s="18" t="s">
        <v>33</v>
      </c>
      <c r="AT10" s="16"/>
      <c r="AU10" s="25">
        <v>3</v>
      </c>
      <c r="AV10" s="28">
        <v>35</v>
      </c>
      <c r="AW10" s="19" t="s">
        <v>38</v>
      </c>
    </row>
    <row r="11" spans="1:50" ht="12.75">
      <c r="A11" s="1">
        <v>7</v>
      </c>
      <c r="B11" s="48" t="s">
        <v>4</v>
      </c>
      <c r="C11" s="2" t="s">
        <v>29</v>
      </c>
      <c r="D11" s="5">
        <v>1</v>
      </c>
      <c r="E11" s="5">
        <v>1</v>
      </c>
      <c r="F11" s="12">
        <v>15296.875</v>
      </c>
      <c r="G11" s="4">
        <f t="shared" si="0"/>
        <v>15296.88</v>
      </c>
      <c r="H11" s="4">
        <f t="shared" si="1"/>
        <v>15296.88</v>
      </c>
      <c r="I11" s="4">
        <f t="shared" si="2"/>
        <v>15296.88</v>
      </c>
      <c r="J11" s="36">
        <f t="shared" si="3"/>
        <v>14312.87</v>
      </c>
      <c r="K11" s="39">
        <f t="shared" si="4"/>
        <v>14313</v>
      </c>
      <c r="L11" s="44">
        <v>1400</v>
      </c>
      <c r="M11" s="39">
        <v>8761</v>
      </c>
      <c r="N11" s="44">
        <f t="shared" si="5"/>
        <v>1460</v>
      </c>
      <c r="O11" s="44">
        <f t="shared" si="6"/>
        <v>1460</v>
      </c>
      <c r="P11" s="44">
        <f t="shared" si="7"/>
        <v>1460</v>
      </c>
      <c r="Q11" s="44">
        <f t="shared" si="8"/>
        <v>1460</v>
      </c>
      <c r="R11" s="44">
        <f t="shared" si="9"/>
        <v>1460</v>
      </c>
      <c r="S11" s="44"/>
      <c r="T11" s="44">
        <f t="shared" si="10"/>
        <v>1461</v>
      </c>
      <c r="U11" s="44">
        <f t="shared" si="11"/>
        <v>8761</v>
      </c>
      <c r="V11" s="44"/>
      <c r="W11" s="44"/>
      <c r="X11" s="89">
        <v>1431</v>
      </c>
      <c r="Y11" s="89">
        <v>1432.8</v>
      </c>
      <c r="Z11" s="89">
        <v>1431</v>
      </c>
      <c r="AA11" s="89">
        <v>1411.8</v>
      </c>
      <c r="AB11" s="44">
        <v>452</v>
      </c>
      <c r="AC11" s="95">
        <f t="shared" si="13"/>
        <v>3314</v>
      </c>
      <c r="AD11" s="95">
        <f t="shared" si="14"/>
        <v>469.4000000000001</v>
      </c>
      <c r="AE11" s="95">
        <v>439.2</v>
      </c>
      <c r="AF11" s="95">
        <f t="shared" si="15"/>
        <v>3283.8</v>
      </c>
      <c r="AG11" s="95">
        <f t="shared" si="16"/>
        <v>30.199999999999818</v>
      </c>
      <c r="AH11" s="44"/>
      <c r="AI11" s="44"/>
      <c r="AJ11" s="44"/>
      <c r="AK11" s="44"/>
      <c r="AL11" s="44"/>
      <c r="AM11" s="44"/>
      <c r="AN11" s="44"/>
      <c r="AO11" s="44"/>
      <c r="AP11" s="44"/>
      <c r="AQ11" s="91">
        <f t="shared" si="12"/>
        <v>1883</v>
      </c>
      <c r="AR11" s="83">
        <f t="shared" si="17"/>
        <v>3314</v>
      </c>
      <c r="AS11" s="18" t="s">
        <v>33</v>
      </c>
      <c r="AT11" s="16"/>
      <c r="AU11" s="25">
        <v>3</v>
      </c>
      <c r="AV11" s="28">
        <v>40</v>
      </c>
      <c r="AW11" s="19" t="s">
        <v>38</v>
      </c>
      <c r="AX11" s="41" t="s">
        <v>52</v>
      </c>
    </row>
    <row r="12" spans="1:49" ht="12.75">
      <c r="A12" s="1">
        <v>8</v>
      </c>
      <c r="B12" s="48" t="s">
        <v>5</v>
      </c>
      <c r="C12" s="2" t="s">
        <v>29</v>
      </c>
      <c r="D12" s="5">
        <v>1</v>
      </c>
      <c r="E12" s="5">
        <v>1</v>
      </c>
      <c r="F12" s="12">
        <v>15296.875</v>
      </c>
      <c r="G12" s="4">
        <f t="shared" si="0"/>
        <v>15296.88</v>
      </c>
      <c r="H12" s="4">
        <f t="shared" si="1"/>
        <v>15296.88</v>
      </c>
      <c r="I12" s="4">
        <f t="shared" si="2"/>
        <v>15296.88</v>
      </c>
      <c r="J12" s="36">
        <f t="shared" si="3"/>
        <v>14312.87</v>
      </c>
      <c r="K12" s="39">
        <f t="shared" si="4"/>
        <v>14313</v>
      </c>
      <c r="L12" s="44">
        <v>1200</v>
      </c>
      <c r="M12" s="39">
        <v>7446</v>
      </c>
      <c r="N12" s="44">
        <f t="shared" si="5"/>
        <v>1241</v>
      </c>
      <c r="O12" s="44">
        <f t="shared" si="6"/>
        <v>1241</v>
      </c>
      <c r="P12" s="44">
        <f t="shared" si="7"/>
        <v>1241</v>
      </c>
      <c r="Q12" s="44">
        <f t="shared" si="8"/>
        <v>1241</v>
      </c>
      <c r="R12" s="44">
        <f t="shared" si="9"/>
        <v>1241</v>
      </c>
      <c r="S12" s="44"/>
      <c r="T12" s="44">
        <f t="shared" si="10"/>
        <v>1241</v>
      </c>
      <c r="U12" s="44">
        <f t="shared" si="11"/>
        <v>7446</v>
      </c>
      <c r="V12" s="44"/>
      <c r="W12" s="44"/>
      <c r="X12" s="89">
        <v>1431</v>
      </c>
      <c r="Y12" s="89">
        <v>1461</v>
      </c>
      <c r="Z12" s="89">
        <v>1431</v>
      </c>
      <c r="AA12" s="89">
        <v>1389</v>
      </c>
      <c r="AB12" s="44">
        <v>452</v>
      </c>
      <c r="AC12" s="95">
        <f t="shared" si="13"/>
        <v>3314</v>
      </c>
      <c r="AD12" s="95">
        <f t="shared" si="14"/>
        <v>464</v>
      </c>
      <c r="AE12" s="95">
        <v>450</v>
      </c>
      <c r="AF12" s="95">
        <f t="shared" si="15"/>
        <v>3300</v>
      </c>
      <c r="AG12" s="95">
        <f t="shared" si="16"/>
        <v>14</v>
      </c>
      <c r="AH12" s="44"/>
      <c r="AI12" s="44"/>
      <c r="AJ12" s="44"/>
      <c r="AK12" s="44"/>
      <c r="AL12" s="44"/>
      <c r="AM12" s="44"/>
      <c r="AN12" s="44"/>
      <c r="AO12" s="44"/>
      <c r="AP12" s="44"/>
      <c r="AQ12" s="91">
        <f t="shared" si="12"/>
        <v>1883</v>
      </c>
      <c r="AR12" s="83">
        <f t="shared" si="17"/>
        <v>3314</v>
      </c>
      <c r="AS12" s="18" t="s">
        <v>33</v>
      </c>
      <c r="AT12" s="16"/>
      <c r="AU12" s="25">
        <v>3</v>
      </c>
      <c r="AV12" s="28">
        <v>34</v>
      </c>
      <c r="AW12" s="18" t="s">
        <v>37</v>
      </c>
    </row>
    <row r="13" spans="1:49" ht="12.75">
      <c r="A13" s="1">
        <v>9</v>
      </c>
      <c r="B13" s="48" t="s">
        <v>6</v>
      </c>
      <c r="C13" s="33" t="s">
        <v>30</v>
      </c>
      <c r="D13" s="3">
        <v>0.8</v>
      </c>
      <c r="E13" s="3">
        <v>1.5</v>
      </c>
      <c r="F13" s="12">
        <v>15296.875</v>
      </c>
      <c r="G13" s="4">
        <f t="shared" si="0"/>
        <v>12237.5</v>
      </c>
      <c r="H13" s="4">
        <f t="shared" si="1"/>
        <v>12237.5</v>
      </c>
      <c r="I13" s="4">
        <f t="shared" si="2"/>
        <v>18356.25</v>
      </c>
      <c r="J13" s="36">
        <f t="shared" si="3"/>
        <v>17175.44</v>
      </c>
      <c r="K13" s="39">
        <f t="shared" si="4"/>
        <v>17175</v>
      </c>
      <c r="L13" s="44">
        <v>1400</v>
      </c>
      <c r="M13" s="39">
        <v>7884</v>
      </c>
      <c r="N13" s="44">
        <f t="shared" si="5"/>
        <v>1314</v>
      </c>
      <c r="O13" s="44">
        <f t="shared" si="6"/>
        <v>1314</v>
      </c>
      <c r="P13" s="44">
        <f t="shared" si="7"/>
        <v>1314</v>
      </c>
      <c r="Q13" s="44">
        <f t="shared" si="8"/>
        <v>1314</v>
      </c>
      <c r="R13" s="44">
        <f t="shared" si="9"/>
        <v>1314</v>
      </c>
      <c r="S13" s="44"/>
      <c r="T13" s="44">
        <f t="shared" si="10"/>
        <v>1314</v>
      </c>
      <c r="U13" s="44">
        <f t="shared" si="11"/>
        <v>7884</v>
      </c>
      <c r="V13" s="44"/>
      <c r="W13" s="44"/>
      <c r="X13" s="89">
        <v>1716</v>
      </c>
      <c r="Y13" s="89">
        <v>1734</v>
      </c>
      <c r="Z13" s="89">
        <v>1716</v>
      </c>
      <c r="AA13" s="89">
        <v>1695</v>
      </c>
      <c r="AB13" s="44">
        <v>541</v>
      </c>
      <c r="AC13" s="95">
        <f t="shared" si="13"/>
        <v>3973</v>
      </c>
      <c r="AD13" s="95">
        <f t="shared" si="14"/>
        <v>544</v>
      </c>
      <c r="AE13" s="95">
        <v>543</v>
      </c>
      <c r="AF13" s="95">
        <f t="shared" si="15"/>
        <v>3972</v>
      </c>
      <c r="AG13" s="95">
        <f t="shared" si="16"/>
        <v>1</v>
      </c>
      <c r="AH13" s="44"/>
      <c r="AI13" s="44"/>
      <c r="AJ13" s="44"/>
      <c r="AK13" s="44"/>
      <c r="AL13" s="44"/>
      <c r="AM13" s="44"/>
      <c r="AN13" s="44"/>
      <c r="AO13" s="44"/>
      <c r="AP13" s="44"/>
      <c r="AQ13" s="91">
        <f t="shared" si="12"/>
        <v>2257</v>
      </c>
      <c r="AR13" s="83">
        <f t="shared" si="17"/>
        <v>3973</v>
      </c>
      <c r="AS13" s="18"/>
      <c r="AT13" s="16" t="s">
        <v>44</v>
      </c>
      <c r="AU13" s="25">
        <v>3</v>
      </c>
      <c r="AV13" s="20">
        <v>30</v>
      </c>
      <c r="AW13" s="18" t="s">
        <v>37</v>
      </c>
    </row>
    <row r="14" spans="1:49" ht="12.75">
      <c r="A14" s="1">
        <v>10</v>
      </c>
      <c r="B14" s="48" t="s">
        <v>7</v>
      </c>
      <c r="C14" s="2" t="s">
        <v>29</v>
      </c>
      <c r="D14" s="5">
        <v>1</v>
      </c>
      <c r="E14" s="5">
        <v>1</v>
      </c>
      <c r="F14" s="12">
        <v>15296.875</v>
      </c>
      <c r="G14" s="4">
        <f t="shared" si="0"/>
        <v>15296.88</v>
      </c>
      <c r="H14" s="4">
        <f t="shared" si="1"/>
        <v>15296.88</v>
      </c>
      <c r="I14" s="4">
        <f t="shared" si="2"/>
        <v>15296.88</v>
      </c>
      <c r="J14" s="36">
        <f t="shared" si="3"/>
        <v>14312.87</v>
      </c>
      <c r="K14" s="39">
        <f t="shared" si="4"/>
        <v>14313</v>
      </c>
      <c r="L14" s="44">
        <v>1100</v>
      </c>
      <c r="M14" s="39">
        <v>6570</v>
      </c>
      <c r="N14" s="44">
        <f t="shared" si="5"/>
        <v>1095</v>
      </c>
      <c r="O14" s="44">
        <f t="shared" si="6"/>
        <v>1095</v>
      </c>
      <c r="P14" s="44">
        <f t="shared" si="7"/>
        <v>1095</v>
      </c>
      <c r="Q14" s="44">
        <f t="shared" si="8"/>
        <v>1095</v>
      </c>
      <c r="R14" s="44">
        <f t="shared" si="9"/>
        <v>1095</v>
      </c>
      <c r="S14" s="44"/>
      <c r="T14" s="44">
        <f t="shared" si="10"/>
        <v>1095</v>
      </c>
      <c r="U14" s="44">
        <f t="shared" si="11"/>
        <v>6570</v>
      </c>
      <c r="V14" s="44"/>
      <c r="W14" s="44"/>
      <c r="X14" s="89">
        <v>1431</v>
      </c>
      <c r="Y14" s="89">
        <v>1428</v>
      </c>
      <c r="Z14" s="89">
        <v>1431</v>
      </c>
      <c r="AA14" s="89">
        <v>1428</v>
      </c>
      <c r="AB14" s="44">
        <v>452</v>
      </c>
      <c r="AC14" s="95">
        <f t="shared" si="13"/>
        <v>3314</v>
      </c>
      <c r="AD14" s="95">
        <f t="shared" si="14"/>
        <v>458</v>
      </c>
      <c r="AE14" s="95">
        <v>450</v>
      </c>
      <c r="AF14" s="95">
        <f t="shared" si="15"/>
        <v>3306</v>
      </c>
      <c r="AG14" s="95">
        <f t="shared" si="16"/>
        <v>8</v>
      </c>
      <c r="AH14" s="44"/>
      <c r="AI14" s="44"/>
      <c r="AJ14" s="44"/>
      <c r="AK14" s="44"/>
      <c r="AL14" s="44"/>
      <c r="AM14" s="44"/>
      <c r="AN14" s="44"/>
      <c r="AO14" s="44"/>
      <c r="AP14" s="44"/>
      <c r="AQ14" s="91">
        <f t="shared" si="12"/>
        <v>1883</v>
      </c>
      <c r="AR14" s="83">
        <f t="shared" si="17"/>
        <v>3314</v>
      </c>
      <c r="AS14" s="18" t="s">
        <v>33</v>
      </c>
      <c r="AT14" s="16"/>
      <c r="AU14" s="25">
        <v>3</v>
      </c>
      <c r="AV14" s="28">
        <v>30</v>
      </c>
      <c r="AW14" s="29" t="s">
        <v>37</v>
      </c>
    </row>
    <row r="15" spans="1:49" ht="12.75">
      <c r="A15" s="1">
        <v>11</v>
      </c>
      <c r="B15" s="48" t="s">
        <v>8</v>
      </c>
      <c r="C15" s="2" t="s">
        <v>29</v>
      </c>
      <c r="D15" s="5">
        <v>1</v>
      </c>
      <c r="E15" s="5">
        <v>1</v>
      </c>
      <c r="F15" s="12">
        <v>15296.875</v>
      </c>
      <c r="G15" s="4">
        <f t="shared" si="0"/>
        <v>15296.88</v>
      </c>
      <c r="H15" s="4">
        <f t="shared" si="1"/>
        <v>15296.88</v>
      </c>
      <c r="I15" s="4">
        <f t="shared" si="2"/>
        <v>15296.88</v>
      </c>
      <c r="J15" s="36">
        <f t="shared" si="3"/>
        <v>14312.87</v>
      </c>
      <c r="K15" s="39">
        <f t="shared" si="4"/>
        <v>14313</v>
      </c>
      <c r="L15" s="44">
        <v>1100</v>
      </c>
      <c r="M15" s="39">
        <v>6789</v>
      </c>
      <c r="N15" s="44">
        <f t="shared" si="5"/>
        <v>1132</v>
      </c>
      <c r="O15" s="44">
        <f t="shared" si="6"/>
        <v>1132</v>
      </c>
      <c r="P15" s="44">
        <f t="shared" si="7"/>
        <v>1132</v>
      </c>
      <c r="Q15" s="44">
        <f t="shared" si="8"/>
        <v>1132</v>
      </c>
      <c r="R15" s="44">
        <f t="shared" si="9"/>
        <v>1132</v>
      </c>
      <c r="S15" s="44"/>
      <c r="T15" s="44">
        <f t="shared" si="10"/>
        <v>1129</v>
      </c>
      <c r="U15" s="44">
        <f t="shared" si="11"/>
        <v>6789</v>
      </c>
      <c r="V15" s="44"/>
      <c r="W15" s="44"/>
      <c r="X15" s="89">
        <v>1431</v>
      </c>
      <c r="Y15" s="89">
        <v>1382.4</v>
      </c>
      <c r="Z15" s="89">
        <v>1431</v>
      </c>
      <c r="AA15" s="89">
        <v>1413</v>
      </c>
      <c r="AB15" s="44">
        <v>452</v>
      </c>
      <c r="AC15" s="95">
        <f t="shared" si="13"/>
        <v>3314</v>
      </c>
      <c r="AD15" s="95">
        <f t="shared" si="14"/>
        <v>518.5999999999999</v>
      </c>
      <c r="AE15" s="95">
        <v>510</v>
      </c>
      <c r="AF15" s="95">
        <f t="shared" si="15"/>
        <v>3305.4</v>
      </c>
      <c r="AG15" s="95">
        <f t="shared" si="16"/>
        <v>8.599999999999909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91">
        <f t="shared" si="12"/>
        <v>1883</v>
      </c>
      <c r="AR15" s="83">
        <f t="shared" si="17"/>
        <v>3314</v>
      </c>
      <c r="AS15" s="18" t="s">
        <v>33</v>
      </c>
      <c r="AT15" s="16"/>
      <c r="AU15" s="25">
        <v>3</v>
      </c>
      <c r="AV15" s="17">
        <v>31</v>
      </c>
      <c r="AW15" s="18" t="s">
        <v>37</v>
      </c>
    </row>
    <row r="16" spans="1:50" ht="12.75">
      <c r="A16" s="1">
        <v>12</v>
      </c>
      <c r="B16" s="48" t="s">
        <v>9</v>
      </c>
      <c r="C16" s="6" t="s">
        <v>31</v>
      </c>
      <c r="D16" s="8">
        <v>1.2</v>
      </c>
      <c r="E16" s="5">
        <v>1</v>
      </c>
      <c r="F16" s="12">
        <v>15296.875</v>
      </c>
      <c r="G16" s="4">
        <f t="shared" si="0"/>
        <v>18356.25</v>
      </c>
      <c r="H16" s="4">
        <f t="shared" si="1"/>
        <v>18356.25</v>
      </c>
      <c r="I16" s="4">
        <f t="shared" si="2"/>
        <v>18356.25</v>
      </c>
      <c r="J16" s="36">
        <f t="shared" si="3"/>
        <v>17175.44</v>
      </c>
      <c r="K16" s="39">
        <f t="shared" si="4"/>
        <v>17175</v>
      </c>
      <c r="L16" s="44">
        <v>1500</v>
      </c>
      <c r="M16" s="39">
        <v>9199</v>
      </c>
      <c r="N16" s="44">
        <f t="shared" si="5"/>
        <v>1533</v>
      </c>
      <c r="O16" s="44">
        <f t="shared" si="6"/>
        <v>1533</v>
      </c>
      <c r="P16" s="44">
        <f t="shared" si="7"/>
        <v>1533</v>
      </c>
      <c r="Q16" s="44">
        <f t="shared" si="8"/>
        <v>1533</v>
      </c>
      <c r="R16" s="44">
        <f t="shared" si="9"/>
        <v>1533</v>
      </c>
      <c r="S16" s="44"/>
      <c r="T16" s="44">
        <f t="shared" si="10"/>
        <v>1534</v>
      </c>
      <c r="U16" s="44">
        <f t="shared" si="11"/>
        <v>9199</v>
      </c>
      <c r="V16" s="44"/>
      <c r="W16" s="44"/>
      <c r="X16" s="89">
        <v>1717</v>
      </c>
      <c r="Y16" s="89">
        <v>1710</v>
      </c>
      <c r="Z16" s="89">
        <v>1717</v>
      </c>
      <c r="AA16" s="89">
        <v>1707</v>
      </c>
      <c r="AB16" s="44">
        <v>542</v>
      </c>
      <c r="AC16" s="95">
        <f t="shared" si="13"/>
        <v>3976</v>
      </c>
      <c r="AD16" s="95">
        <f t="shared" si="14"/>
        <v>559</v>
      </c>
      <c r="AE16" s="95">
        <v>558</v>
      </c>
      <c r="AF16" s="95">
        <f t="shared" si="15"/>
        <v>3975</v>
      </c>
      <c r="AG16" s="95">
        <f t="shared" si="16"/>
        <v>1</v>
      </c>
      <c r="AH16" s="44"/>
      <c r="AI16" s="44"/>
      <c r="AJ16" s="44"/>
      <c r="AK16" s="44"/>
      <c r="AL16" s="44"/>
      <c r="AM16" s="44"/>
      <c r="AN16" s="44"/>
      <c r="AO16" s="44"/>
      <c r="AP16" s="44"/>
      <c r="AQ16" s="91">
        <f t="shared" si="12"/>
        <v>2259</v>
      </c>
      <c r="AR16" s="83">
        <f t="shared" si="17"/>
        <v>3976</v>
      </c>
      <c r="AS16" s="18" t="s">
        <v>33</v>
      </c>
      <c r="AT16" s="16"/>
      <c r="AU16" s="25">
        <v>3</v>
      </c>
      <c r="AV16" s="28">
        <v>35</v>
      </c>
      <c r="AW16" s="29" t="s">
        <v>38</v>
      </c>
      <c r="AX16" s="41" t="s">
        <v>52</v>
      </c>
    </row>
    <row r="17" spans="1:50" ht="12.75">
      <c r="A17" s="1">
        <v>13</v>
      </c>
      <c r="B17" s="48" t="s">
        <v>10</v>
      </c>
      <c r="C17" s="2" t="s">
        <v>29</v>
      </c>
      <c r="D17" s="5">
        <v>1</v>
      </c>
      <c r="E17" s="5">
        <v>1</v>
      </c>
      <c r="F17" s="12">
        <v>15296.875</v>
      </c>
      <c r="G17" s="4">
        <f t="shared" si="0"/>
        <v>15296.88</v>
      </c>
      <c r="H17" s="4">
        <f t="shared" si="1"/>
        <v>15296.88</v>
      </c>
      <c r="I17" s="4">
        <f t="shared" si="2"/>
        <v>15296.88</v>
      </c>
      <c r="J17" s="36">
        <f t="shared" si="3"/>
        <v>14312.87</v>
      </c>
      <c r="K17" s="39">
        <f t="shared" si="4"/>
        <v>14313</v>
      </c>
      <c r="L17" s="44">
        <v>1200</v>
      </c>
      <c r="M17" s="39">
        <v>7665</v>
      </c>
      <c r="N17" s="44">
        <f t="shared" si="5"/>
        <v>1278</v>
      </c>
      <c r="O17" s="44">
        <f t="shared" si="6"/>
        <v>1278</v>
      </c>
      <c r="P17" s="44">
        <f t="shared" si="7"/>
        <v>1278</v>
      </c>
      <c r="Q17" s="44">
        <f t="shared" si="8"/>
        <v>1278</v>
      </c>
      <c r="R17" s="44">
        <f t="shared" si="9"/>
        <v>1278</v>
      </c>
      <c r="S17" s="44"/>
      <c r="T17" s="44">
        <f t="shared" si="10"/>
        <v>1275</v>
      </c>
      <c r="U17" s="44">
        <f t="shared" si="11"/>
        <v>7665</v>
      </c>
      <c r="V17" s="44"/>
      <c r="W17" s="44"/>
      <c r="X17" s="89">
        <v>1431</v>
      </c>
      <c r="Y17" s="89">
        <v>1431</v>
      </c>
      <c r="Z17" s="89">
        <v>1431</v>
      </c>
      <c r="AA17" s="89">
        <v>1431</v>
      </c>
      <c r="AB17" s="44">
        <v>452</v>
      </c>
      <c r="AC17" s="95">
        <f t="shared" si="13"/>
        <v>3314</v>
      </c>
      <c r="AD17" s="95">
        <f t="shared" si="14"/>
        <v>452</v>
      </c>
      <c r="AE17" s="95">
        <v>444</v>
      </c>
      <c r="AF17" s="95">
        <f t="shared" si="15"/>
        <v>3306</v>
      </c>
      <c r="AG17" s="95">
        <f t="shared" si="16"/>
        <v>8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91">
        <f t="shared" si="12"/>
        <v>1883</v>
      </c>
      <c r="AR17" s="83">
        <f t="shared" si="17"/>
        <v>3314</v>
      </c>
      <c r="AS17" s="18" t="s">
        <v>33</v>
      </c>
      <c r="AT17" s="16"/>
      <c r="AU17" s="25">
        <v>3</v>
      </c>
      <c r="AV17" s="28">
        <v>35</v>
      </c>
      <c r="AW17" s="29" t="s">
        <v>38</v>
      </c>
      <c r="AX17" s="41" t="s">
        <v>52</v>
      </c>
    </row>
    <row r="18" spans="1:49" ht="12.75">
      <c r="A18" s="1">
        <v>14</v>
      </c>
      <c r="B18" s="48" t="s">
        <v>11</v>
      </c>
      <c r="C18" s="33" t="s">
        <v>30</v>
      </c>
      <c r="D18" s="3">
        <v>0.8</v>
      </c>
      <c r="E18" s="5">
        <v>1</v>
      </c>
      <c r="F18" s="12">
        <v>15296.875</v>
      </c>
      <c r="G18" s="4">
        <f t="shared" si="0"/>
        <v>12237.5</v>
      </c>
      <c r="H18" s="4">
        <f t="shared" si="1"/>
        <v>12237.5</v>
      </c>
      <c r="I18" s="4">
        <f t="shared" si="2"/>
        <v>12237.5</v>
      </c>
      <c r="J18" s="36">
        <f t="shared" si="3"/>
        <v>11450.29</v>
      </c>
      <c r="K18" s="39">
        <f t="shared" si="4"/>
        <v>11450</v>
      </c>
      <c r="L18" s="44">
        <v>1000</v>
      </c>
      <c r="M18" s="39">
        <v>5957</v>
      </c>
      <c r="N18" s="44">
        <f t="shared" si="5"/>
        <v>993</v>
      </c>
      <c r="O18" s="44">
        <f t="shared" si="6"/>
        <v>993</v>
      </c>
      <c r="P18" s="44">
        <f t="shared" si="7"/>
        <v>993</v>
      </c>
      <c r="Q18" s="44">
        <f t="shared" si="8"/>
        <v>993</v>
      </c>
      <c r="R18" s="44">
        <f t="shared" si="9"/>
        <v>993</v>
      </c>
      <c r="S18" s="44"/>
      <c r="T18" s="44">
        <f t="shared" si="10"/>
        <v>992</v>
      </c>
      <c r="U18" s="44">
        <f t="shared" si="11"/>
        <v>5957</v>
      </c>
      <c r="V18" s="44"/>
      <c r="W18" s="44"/>
      <c r="X18" s="89">
        <v>1145</v>
      </c>
      <c r="Y18" s="89">
        <v>1119</v>
      </c>
      <c r="Z18" s="89">
        <v>1145</v>
      </c>
      <c r="AA18" s="89">
        <v>1170</v>
      </c>
      <c r="AB18" s="44">
        <v>361</v>
      </c>
      <c r="AC18" s="95">
        <f t="shared" si="13"/>
        <v>2651</v>
      </c>
      <c r="AD18" s="95">
        <f t="shared" si="14"/>
        <v>362</v>
      </c>
      <c r="AE18" s="95">
        <v>354</v>
      </c>
      <c r="AF18" s="95">
        <f t="shared" si="15"/>
        <v>2643</v>
      </c>
      <c r="AG18" s="95">
        <f t="shared" si="16"/>
        <v>8</v>
      </c>
      <c r="AH18" s="44"/>
      <c r="AI18" s="44"/>
      <c r="AJ18" s="44"/>
      <c r="AK18" s="44"/>
      <c r="AL18" s="44"/>
      <c r="AM18" s="44"/>
      <c r="AN18" s="44"/>
      <c r="AO18" s="44"/>
      <c r="AP18" s="44"/>
      <c r="AQ18" s="91">
        <f t="shared" si="12"/>
        <v>1506</v>
      </c>
      <c r="AR18" s="83">
        <f t="shared" si="17"/>
        <v>2651</v>
      </c>
      <c r="AS18" s="18" t="s">
        <v>33</v>
      </c>
      <c r="AT18" s="16"/>
      <c r="AU18" s="25">
        <v>3</v>
      </c>
      <c r="AV18" s="28">
        <v>34</v>
      </c>
      <c r="AW18" s="29" t="s">
        <v>37</v>
      </c>
    </row>
    <row r="19" spans="1:49" ht="12.75">
      <c r="A19" s="1">
        <v>15</v>
      </c>
      <c r="B19" s="48" t="s">
        <v>12</v>
      </c>
      <c r="C19" s="33" t="s">
        <v>30</v>
      </c>
      <c r="D19" s="3">
        <v>0.8</v>
      </c>
      <c r="E19" s="3">
        <v>1.5</v>
      </c>
      <c r="F19" s="12">
        <v>15296.875</v>
      </c>
      <c r="G19" s="4">
        <f t="shared" si="0"/>
        <v>12237.5</v>
      </c>
      <c r="H19" s="4">
        <f t="shared" si="1"/>
        <v>12237.5</v>
      </c>
      <c r="I19" s="4">
        <f t="shared" si="2"/>
        <v>18356.25</v>
      </c>
      <c r="J19" s="36">
        <f t="shared" si="3"/>
        <v>17175.44</v>
      </c>
      <c r="K19" s="39">
        <f t="shared" si="4"/>
        <v>17175</v>
      </c>
      <c r="L19" s="44">
        <v>1400</v>
      </c>
      <c r="M19" s="39">
        <v>8936</v>
      </c>
      <c r="N19" s="44">
        <f t="shared" si="5"/>
        <v>1489</v>
      </c>
      <c r="O19" s="44">
        <f t="shared" si="6"/>
        <v>1489</v>
      </c>
      <c r="P19" s="44">
        <f t="shared" si="7"/>
        <v>1489</v>
      </c>
      <c r="Q19" s="44">
        <f t="shared" si="8"/>
        <v>1489</v>
      </c>
      <c r="R19" s="44">
        <f t="shared" si="9"/>
        <v>1489</v>
      </c>
      <c r="S19" s="44"/>
      <c r="T19" s="44">
        <f t="shared" si="10"/>
        <v>1491</v>
      </c>
      <c r="U19" s="44">
        <f t="shared" si="11"/>
        <v>8936</v>
      </c>
      <c r="V19" s="44"/>
      <c r="W19" s="44"/>
      <c r="X19" s="89">
        <v>1716</v>
      </c>
      <c r="Y19" s="89">
        <v>1704</v>
      </c>
      <c r="Z19" s="89">
        <v>1716</v>
      </c>
      <c r="AA19" s="89">
        <v>1716</v>
      </c>
      <c r="AB19" s="44">
        <v>541</v>
      </c>
      <c r="AC19" s="95">
        <f t="shared" si="13"/>
        <v>3973</v>
      </c>
      <c r="AD19" s="95">
        <f t="shared" si="14"/>
        <v>553</v>
      </c>
      <c r="AE19" s="95">
        <v>534</v>
      </c>
      <c r="AF19" s="95">
        <f t="shared" si="15"/>
        <v>3954</v>
      </c>
      <c r="AG19" s="95">
        <f t="shared" si="16"/>
        <v>19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91">
        <f t="shared" si="12"/>
        <v>2257</v>
      </c>
      <c r="AR19" s="83">
        <f t="shared" si="17"/>
        <v>3973</v>
      </c>
      <c r="AS19" s="18"/>
      <c r="AT19" s="16" t="s">
        <v>41</v>
      </c>
      <c r="AU19" s="25">
        <v>3</v>
      </c>
      <c r="AV19" s="28">
        <v>34</v>
      </c>
      <c r="AW19" s="29" t="s">
        <v>37</v>
      </c>
    </row>
    <row r="20" spans="1:49" ht="12.75">
      <c r="A20" s="1">
        <v>16</v>
      </c>
      <c r="B20" s="48" t="s">
        <v>13</v>
      </c>
      <c r="C20" s="2" t="s">
        <v>29</v>
      </c>
      <c r="D20" s="5">
        <v>1</v>
      </c>
      <c r="E20" s="5">
        <v>1</v>
      </c>
      <c r="F20" s="12">
        <v>15296.875</v>
      </c>
      <c r="G20" s="4">
        <f t="shared" si="0"/>
        <v>15296.88</v>
      </c>
      <c r="H20" s="4">
        <f t="shared" si="1"/>
        <v>15296.88</v>
      </c>
      <c r="I20" s="4">
        <f t="shared" si="2"/>
        <v>15296.88</v>
      </c>
      <c r="J20" s="36">
        <f t="shared" si="3"/>
        <v>14312.87</v>
      </c>
      <c r="K20" s="39">
        <f t="shared" si="4"/>
        <v>14313</v>
      </c>
      <c r="L20" s="44">
        <v>1200</v>
      </c>
      <c r="M20" s="39">
        <v>7446</v>
      </c>
      <c r="N20" s="44">
        <f t="shared" si="5"/>
        <v>1241</v>
      </c>
      <c r="O20" s="44">
        <f t="shared" si="6"/>
        <v>1241</v>
      </c>
      <c r="P20" s="44">
        <f t="shared" si="7"/>
        <v>1241</v>
      </c>
      <c r="Q20" s="44">
        <f t="shared" si="8"/>
        <v>1241</v>
      </c>
      <c r="R20" s="44">
        <f t="shared" si="9"/>
        <v>1241</v>
      </c>
      <c r="S20" s="44"/>
      <c r="T20" s="44">
        <f t="shared" si="10"/>
        <v>1241</v>
      </c>
      <c r="U20" s="44">
        <f t="shared" si="11"/>
        <v>7446</v>
      </c>
      <c r="V20" s="44"/>
      <c r="W20" s="44"/>
      <c r="X20" s="89">
        <v>1431</v>
      </c>
      <c r="Y20" s="89">
        <v>1400.4</v>
      </c>
      <c r="Z20" s="89">
        <v>1431</v>
      </c>
      <c r="AA20" s="89">
        <v>1454.4</v>
      </c>
      <c r="AB20" s="44">
        <v>452</v>
      </c>
      <c r="AC20" s="95">
        <f t="shared" si="13"/>
        <v>3314</v>
      </c>
      <c r="AD20" s="95">
        <f t="shared" si="14"/>
        <v>459.1999999999998</v>
      </c>
      <c r="AE20" s="95">
        <v>444</v>
      </c>
      <c r="AF20" s="95">
        <f t="shared" si="15"/>
        <v>3298.8</v>
      </c>
      <c r="AG20" s="95">
        <f t="shared" si="16"/>
        <v>15.199999999999818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91">
        <f t="shared" si="12"/>
        <v>1883</v>
      </c>
      <c r="AR20" s="83">
        <f t="shared" si="17"/>
        <v>3314</v>
      </c>
      <c r="AS20" s="18" t="s">
        <v>33</v>
      </c>
      <c r="AT20" s="16"/>
      <c r="AU20" s="25">
        <v>3</v>
      </c>
      <c r="AV20" s="28">
        <v>34</v>
      </c>
      <c r="AW20" s="29" t="s">
        <v>37</v>
      </c>
    </row>
    <row r="21" spans="1:49" ht="12.75">
      <c r="A21" s="1">
        <v>17</v>
      </c>
      <c r="B21" s="48" t="s">
        <v>14</v>
      </c>
      <c r="C21" s="33" t="s">
        <v>30</v>
      </c>
      <c r="D21" s="3">
        <v>0.8</v>
      </c>
      <c r="E21" s="3">
        <v>1.5</v>
      </c>
      <c r="F21" s="12">
        <v>15296.875</v>
      </c>
      <c r="G21" s="4">
        <f t="shared" si="0"/>
        <v>12237.5</v>
      </c>
      <c r="H21" s="4">
        <f t="shared" si="1"/>
        <v>12237.5</v>
      </c>
      <c r="I21" s="4">
        <f t="shared" si="2"/>
        <v>18356.25</v>
      </c>
      <c r="J21" s="36">
        <f t="shared" si="3"/>
        <v>17175.44</v>
      </c>
      <c r="K21" s="39">
        <f t="shared" si="4"/>
        <v>17175</v>
      </c>
      <c r="L21" s="44">
        <v>1250</v>
      </c>
      <c r="M21" s="39">
        <v>7884</v>
      </c>
      <c r="N21" s="44">
        <f t="shared" si="5"/>
        <v>1314</v>
      </c>
      <c r="O21" s="44">
        <f t="shared" si="6"/>
        <v>1314</v>
      </c>
      <c r="P21" s="44">
        <f t="shared" si="7"/>
        <v>1314</v>
      </c>
      <c r="Q21" s="44">
        <f t="shared" si="8"/>
        <v>1314</v>
      </c>
      <c r="R21" s="44">
        <f t="shared" si="9"/>
        <v>1314</v>
      </c>
      <c r="S21" s="44"/>
      <c r="T21" s="44">
        <f t="shared" si="10"/>
        <v>1314</v>
      </c>
      <c r="U21" s="44">
        <f t="shared" si="11"/>
        <v>7884</v>
      </c>
      <c r="V21" s="44"/>
      <c r="W21" s="44"/>
      <c r="X21" s="89">
        <v>1716</v>
      </c>
      <c r="Y21" s="89">
        <v>1717.2</v>
      </c>
      <c r="Z21" s="89">
        <v>1716</v>
      </c>
      <c r="AA21" s="89">
        <v>1710.6</v>
      </c>
      <c r="AB21" s="44">
        <v>541</v>
      </c>
      <c r="AC21" s="95">
        <f t="shared" si="13"/>
        <v>3973</v>
      </c>
      <c r="AD21" s="95">
        <f t="shared" si="14"/>
        <v>545.2000000000003</v>
      </c>
      <c r="AE21" s="95">
        <v>537</v>
      </c>
      <c r="AF21" s="95">
        <f t="shared" si="15"/>
        <v>3964.8</v>
      </c>
      <c r="AG21" s="95">
        <f t="shared" si="16"/>
        <v>8.199999999999818</v>
      </c>
      <c r="AH21" s="44"/>
      <c r="AI21" s="44"/>
      <c r="AJ21" s="44"/>
      <c r="AK21" s="44"/>
      <c r="AL21" s="44"/>
      <c r="AM21" s="44"/>
      <c r="AN21" s="44"/>
      <c r="AO21" s="44"/>
      <c r="AP21" s="44"/>
      <c r="AQ21" s="91">
        <f t="shared" si="12"/>
        <v>2257</v>
      </c>
      <c r="AR21" s="83">
        <f t="shared" si="17"/>
        <v>3973</v>
      </c>
      <c r="AS21" s="18"/>
      <c r="AT21" s="16" t="s">
        <v>43</v>
      </c>
      <c r="AU21" s="25">
        <v>3</v>
      </c>
      <c r="AV21" s="28">
        <v>30</v>
      </c>
      <c r="AW21" s="29" t="s">
        <v>37</v>
      </c>
    </row>
    <row r="22" spans="1:49" ht="12.75">
      <c r="A22" s="1">
        <v>18</v>
      </c>
      <c r="B22" s="48" t="s">
        <v>40</v>
      </c>
      <c r="C22" s="6" t="s">
        <v>31</v>
      </c>
      <c r="D22" s="8">
        <v>1.2</v>
      </c>
      <c r="E22" s="5">
        <v>1</v>
      </c>
      <c r="F22" s="12">
        <v>15296.875</v>
      </c>
      <c r="G22" s="4">
        <f t="shared" si="0"/>
        <v>18356.25</v>
      </c>
      <c r="H22" s="4">
        <f t="shared" si="1"/>
        <v>18356.25</v>
      </c>
      <c r="I22" s="4">
        <f t="shared" si="2"/>
        <v>18356.25</v>
      </c>
      <c r="J22" s="36">
        <f t="shared" si="3"/>
        <v>17175.44</v>
      </c>
      <c r="K22" s="39">
        <f t="shared" si="4"/>
        <v>17175</v>
      </c>
      <c r="L22" s="44">
        <v>1400</v>
      </c>
      <c r="M22" s="39">
        <v>8936</v>
      </c>
      <c r="N22" s="44">
        <f t="shared" si="5"/>
        <v>1489</v>
      </c>
      <c r="O22" s="44">
        <f t="shared" si="6"/>
        <v>1489</v>
      </c>
      <c r="P22" s="44">
        <f t="shared" si="7"/>
        <v>1489</v>
      </c>
      <c r="Q22" s="44">
        <f t="shared" si="8"/>
        <v>1489</v>
      </c>
      <c r="R22" s="44">
        <f t="shared" si="9"/>
        <v>1489</v>
      </c>
      <c r="S22" s="44"/>
      <c r="T22" s="44">
        <f t="shared" si="10"/>
        <v>1491</v>
      </c>
      <c r="U22" s="44">
        <f t="shared" si="11"/>
        <v>8936</v>
      </c>
      <c r="V22" s="44"/>
      <c r="W22" s="44"/>
      <c r="X22" s="89">
        <v>1717</v>
      </c>
      <c r="Y22" s="89">
        <v>1702.8</v>
      </c>
      <c r="Z22" s="89">
        <v>1717</v>
      </c>
      <c r="AA22" s="89">
        <v>1704</v>
      </c>
      <c r="AB22" s="44">
        <v>542</v>
      </c>
      <c r="AC22" s="95">
        <f t="shared" si="13"/>
        <v>3976</v>
      </c>
      <c r="AD22" s="95">
        <f t="shared" si="14"/>
        <v>569.1999999999998</v>
      </c>
      <c r="AE22" s="95">
        <v>540</v>
      </c>
      <c r="AF22" s="95">
        <f t="shared" si="15"/>
        <v>3946.8</v>
      </c>
      <c r="AG22" s="95">
        <f t="shared" si="16"/>
        <v>29.199999999999818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91">
        <f t="shared" si="12"/>
        <v>2259</v>
      </c>
      <c r="AR22" s="83">
        <f t="shared" si="17"/>
        <v>3976</v>
      </c>
      <c r="AS22" s="18" t="s">
        <v>33</v>
      </c>
      <c r="AT22" s="16"/>
      <c r="AU22" s="25">
        <v>3</v>
      </c>
      <c r="AV22" s="28">
        <v>34</v>
      </c>
      <c r="AW22" s="29" t="s">
        <v>37</v>
      </c>
    </row>
    <row r="23" spans="1:50" ht="12.75">
      <c r="A23" s="1">
        <v>19</v>
      </c>
      <c r="B23" s="48" t="s">
        <v>15</v>
      </c>
      <c r="C23" s="2" t="s">
        <v>29</v>
      </c>
      <c r="D23" s="5">
        <v>1</v>
      </c>
      <c r="E23" s="3">
        <v>1.5</v>
      </c>
      <c r="F23" s="12">
        <v>15296.875</v>
      </c>
      <c r="G23" s="4">
        <f t="shared" si="0"/>
        <v>15296.88</v>
      </c>
      <c r="H23" s="4">
        <f t="shared" si="1"/>
        <v>15296.88</v>
      </c>
      <c r="I23" s="4">
        <f t="shared" si="2"/>
        <v>22945.32</v>
      </c>
      <c r="J23" s="36">
        <f t="shared" si="3"/>
        <v>21469.3</v>
      </c>
      <c r="K23" s="39">
        <f t="shared" si="4"/>
        <v>21469</v>
      </c>
      <c r="L23" s="44">
        <v>1800</v>
      </c>
      <c r="M23" s="39">
        <v>11498</v>
      </c>
      <c r="N23" s="44">
        <f t="shared" si="5"/>
        <v>1916</v>
      </c>
      <c r="O23" s="44">
        <f t="shared" si="6"/>
        <v>1916</v>
      </c>
      <c r="P23" s="44">
        <f t="shared" si="7"/>
        <v>1916</v>
      </c>
      <c r="Q23" s="44">
        <f t="shared" si="8"/>
        <v>1916</v>
      </c>
      <c r="R23" s="44">
        <f t="shared" si="9"/>
        <v>1916</v>
      </c>
      <c r="S23" s="44"/>
      <c r="T23" s="44">
        <f t="shared" si="10"/>
        <v>1918</v>
      </c>
      <c r="U23" s="44">
        <f t="shared" si="11"/>
        <v>11498</v>
      </c>
      <c r="V23" s="44"/>
      <c r="W23" s="44"/>
      <c r="X23" s="89">
        <v>2145</v>
      </c>
      <c r="Y23" s="89">
        <v>2145</v>
      </c>
      <c r="Z23" s="89">
        <v>2145</v>
      </c>
      <c r="AA23" s="89">
        <v>2142.6</v>
      </c>
      <c r="AB23" s="83">
        <v>677</v>
      </c>
      <c r="AC23" s="95">
        <f t="shared" si="13"/>
        <v>4967</v>
      </c>
      <c r="AD23" s="95">
        <f t="shared" si="14"/>
        <v>679.4000000000001</v>
      </c>
      <c r="AE23" s="95">
        <v>672</v>
      </c>
      <c r="AF23" s="95">
        <f t="shared" si="15"/>
        <v>4959.6</v>
      </c>
      <c r="AG23" s="95">
        <f t="shared" si="16"/>
        <v>7.399999999999636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91">
        <f t="shared" si="12"/>
        <v>2822</v>
      </c>
      <c r="AR23" s="83">
        <f t="shared" si="17"/>
        <v>4967</v>
      </c>
      <c r="AS23" s="18"/>
      <c r="AT23" s="16" t="s">
        <v>45</v>
      </c>
      <c r="AU23" s="25">
        <v>3</v>
      </c>
      <c r="AV23" s="28">
        <v>35</v>
      </c>
      <c r="AW23" s="29" t="s">
        <v>38</v>
      </c>
      <c r="AX23" s="41" t="s">
        <v>52</v>
      </c>
    </row>
    <row r="24" spans="1:49" ht="12.75">
      <c r="A24" s="1">
        <v>20</v>
      </c>
      <c r="B24" s="48" t="s">
        <v>16</v>
      </c>
      <c r="C24" s="2" t="s">
        <v>29</v>
      </c>
      <c r="D24" s="5">
        <v>1</v>
      </c>
      <c r="E24" s="5">
        <v>1</v>
      </c>
      <c r="F24" s="12">
        <v>15296.875</v>
      </c>
      <c r="G24" s="4">
        <f t="shared" si="0"/>
        <v>15296.88</v>
      </c>
      <c r="H24" s="4">
        <f t="shared" si="1"/>
        <v>15296.88</v>
      </c>
      <c r="I24" s="4">
        <f t="shared" si="2"/>
        <v>15296.88</v>
      </c>
      <c r="J24" s="36">
        <f t="shared" si="3"/>
        <v>14312.87</v>
      </c>
      <c r="K24" s="39">
        <f t="shared" si="4"/>
        <v>14313</v>
      </c>
      <c r="L24" s="44">
        <v>1200</v>
      </c>
      <c r="M24" s="39">
        <v>7446</v>
      </c>
      <c r="N24" s="44">
        <f t="shared" si="5"/>
        <v>1241</v>
      </c>
      <c r="O24" s="44">
        <f t="shared" si="6"/>
        <v>1241</v>
      </c>
      <c r="P24" s="44">
        <f t="shared" si="7"/>
        <v>1241</v>
      </c>
      <c r="Q24" s="44">
        <f t="shared" si="8"/>
        <v>1241</v>
      </c>
      <c r="R24" s="44">
        <f t="shared" si="9"/>
        <v>1241</v>
      </c>
      <c r="S24" s="44"/>
      <c r="T24" s="44">
        <f t="shared" si="10"/>
        <v>1241</v>
      </c>
      <c r="U24" s="44">
        <f t="shared" si="11"/>
        <v>7446</v>
      </c>
      <c r="V24" s="44"/>
      <c r="W24" s="44"/>
      <c r="X24" s="89">
        <v>1431</v>
      </c>
      <c r="Y24" s="89">
        <v>1425.6</v>
      </c>
      <c r="Z24" s="89">
        <v>1431</v>
      </c>
      <c r="AA24" s="89">
        <v>1426.8</v>
      </c>
      <c r="AB24" s="44">
        <v>452</v>
      </c>
      <c r="AC24" s="95">
        <f t="shared" si="13"/>
        <v>3314</v>
      </c>
      <c r="AD24" s="95">
        <f t="shared" si="14"/>
        <v>461.60000000000014</v>
      </c>
      <c r="AE24" s="95">
        <v>452.4</v>
      </c>
      <c r="AF24" s="95">
        <f t="shared" si="15"/>
        <v>3304.7999999999997</v>
      </c>
      <c r="AG24" s="95">
        <f t="shared" si="16"/>
        <v>9.200000000000273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91">
        <f t="shared" si="12"/>
        <v>1883</v>
      </c>
      <c r="AR24" s="83">
        <f t="shared" si="17"/>
        <v>3314</v>
      </c>
      <c r="AS24" s="18" t="s">
        <v>33</v>
      </c>
      <c r="AT24" s="16"/>
      <c r="AU24" s="25">
        <v>3</v>
      </c>
      <c r="AV24" s="30">
        <v>34</v>
      </c>
      <c r="AW24" s="29" t="s">
        <v>37</v>
      </c>
    </row>
    <row r="25" spans="1:49" ht="12.75">
      <c r="A25" s="1">
        <v>21</v>
      </c>
      <c r="B25" s="48" t="s">
        <v>17</v>
      </c>
      <c r="C25" s="2" t="s">
        <v>29</v>
      </c>
      <c r="D25" s="5">
        <v>1</v>
      </c>
      <c r="E25" s="5">
        <v>1</v>
      </c>
      <c r="F25" s="12">
        <v>15296.875</v>
      </c>
      <c r="G25" s="4">
        <f t="shared" si="0"/>
        <v>15296.88</v>
      </c>
      <c r="H25" s="4">
        <f t="shared" si="1"/>
        <v>15296.88</v>
      </c>
      <c r="I25" s="4">
        <f t="shared" si="2"/>
        <v>15296.88</v>
      </c>
      <c r="J25" s="36">
        <f t="shared" si="3"/>
        <v>14312.87</v>
      </c>
      <c r="K25" s="39">
        <f t="shared" si="4"/>
        <v>14313</v>
      </c>
      <c r="L25" s="44">
        <v>1100</v>
      </c>
      <c r="M25" s="39">
        <v>7446</v>
      </c>
      <c r="N25" s="44">
        <f t="shared" si="5"/>
        <v>1241</v>
      </c>
      <c r="O25" s="44">
        <f t="shared" si="6"/>
        <v>1241</v>
      </c>
      <c r="P25" s="44">
        <f t="shared" si="7"/>
        <v>1241</v>
      </c>
      <c r="Q25" s="44">
        <f t="shared" si="8"/>
        <v>1241</v>
      </c>
      <c r="R25" s="44">
        <f t="shared" si="9"/>
        <v>1241</v>
      </c>
      <c r="S25" s="44"/>
      <c r="T25" s="44">
        <f t="shared" si="10"/>
        <v>1241</v>
      </c>
      <c r="U25" s="44">
        <f t="shared" si="11"/>
        <v>7446</v>
      </c>
      <c r="V25" s="44"/>
      <c r="W25" s="44"/>
      <c r="X25" s="89">
        <v>1431</v>
      </c>
      <c r="Y25" s="89">
        <v>1449</v>
      </c>
      <c r="Z25" s="89">
        <v>1431</v>
      </c>
      <c r="AA25" s="89">
        <v>1407</v>
      </c>
      <c r="AB25" s="44">
        <v>452</v>
      </c>
      <c r="AC25" s="95">
        <f t="shared" si="13"/>
        <v>3314</v>
      </c>
      <c r="AD25" s="95">
        <f t="shared" si="14"/>
        <v>458</v>
      </c>
      <c r="AE25" s="95">
        <v>450</v>
      </c>
      <c r="AF25" s="95">
        <f t="shared" si="15"/>
        <v>3306</v>
      </c>
      <c r="AG25" s="95">
        <f t="shared" si="16"/>
        <v>8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91">
        <f t="shared" si="12"/>
        <v>1883</v>
      </c>
      <c r="AR25" s="83">
        <f t="shared" si="17"/>
        <v>3314</v>
      </c>
      <c r="AS25" s="18" t="s">
        <v>33</v>
      </c>
      <c r="AT25" s="16"/>
      <c r="AU25" s="25">
        <v>3</v>
      </c>
      <c r="AV25" s="28">
        <v>34</v>
      </c>
      <c r="AW25" s="29" t="s">
        <v>37</v>
      </c>
    </row>
    <row r="26" spans="1:49" ht="12.75">
      <c r="A26" s="1">
        <v>22</v>
      </c>
      <c r="B26" s="48" t="s">
        <v>18</v>
      </c>
      <c r="C26" s="2" t="s">
        <v>29</v>
      </c>
      <c r="D26" s="5">
        <v>1</v>
      </c>
      <c r="E26" s="5">
        <v>1</v>
      </c>
      <c r="F26" s="12">
        <v>15296.875</v>
      </c>
      <c r="G26" s="4">
        <f t="shared" si="0"/>
        <v>15296.88</v>
      </c>
      <c r="H26" s="4">
        <f t="shared" si="1"/>
        <v>15296.88</v>
      </c>
      <c r="I26" s="4">
        <f t="shared" si="2"/>
        <v>15296.88</v>
      </c>
      <c r="J26" s="36">
        <f t="shared" si="3"/>
        <v>14312.87</v>
      </c>
      <c r="K26" s="39">
        <f t="shared" si="4"/>
        <v>14313</v>
      </c>
      <c r="L26" s="44">
        <v>1200</v>
      </c>
      <c r="M26" s="39">
        <v>7446</v>
      </c>
      <c r="N26" s="44">
        <f t="shared" si="5"/>
        <v>1241</v>
      </c>
      <c r="O26" s="44">
        <f t="shared" si="6"/>
        <v>1241</v>
      </c>
      <c r="P26" s="44">
        <f t="shared" si="7"/>
        <v>1241</v>
      </c>
      <c r="Q26" s="44">
        <f t="shared" si="8"/>
        <v>1241</v>
      </c>
      <c r="R26" s="44">
        <f t="shared" si="9"/>
        <v>1241</v>
      </c>
      <c r="S26" s="44"/>
      <c r="T26" s="44">
        <f t="shared" si="10"/>
        <v>1241</v>
      </c>
      <c r="U26" s="44">
        <f t="shared" si="11"/>
        <v>7446</v>
      </c>
      <c r="V26" s="44"/>
      <c r="W26" s="44"/>
      <c r="X26" s="89">
        <v>1431</v>
      </c>
      <c r="Y26" s="89">
        <v>1482</v>
      </c>
      <c r="Z26" s="89">
        <v>1431</v>
      </c>
      <c r="AA26" s="89">
        <v>1377</v>
      </c>
      <c r="AB26" s="44">
        <v>452</v>
      </c>
      <c r="AC26" s="95">
        <f t="shared" si="13"/>
        <v>3314</v>
      </c>
      <c r="AD26" s="95">
        <f t="shared" si="14"/>
        <v>455</v>
      </c>
      <c r="AE26" s="95">
        <v>444</v>
      </c>
      <c r="AF26" s="95">
        <f t="shared" si="15"/>
        <v>3303</v>
      </c>
      <c r="AG26" s="95">
        <f t="shared" si="16"/>
        <v>11</v>
      </c>
      <c r="AH26" s="44"/>
      <c r="AI26" s="44"/>
      <c r="AJ26" s="44"/>
      <c r="AK26" s="44"/>
      <c r="AL26" s="44"/>
      <c r="AM26" s="44"/>
      <c r="AN26" s="44"/>
      <c r="AO26" s="44"/>
      <c r="AP26" s="44"/>
      <c r="AQ26" s="91">
        <f t="shared" si="12"/>
        <v>1883</v>
      </c>
      <c r="AR26" s="83">
        <f t="shared" si="17"/>
        <v>3314</v>
      </c>
      <c r="AS26" s="18" t="s">
        <v>33</v>
      </c>
      <c r="AT26" s="16"/>
      <c r="AU26" s="25">
        <v>3</v>
      </c>
      <c r="AV26" s="28">
        <v>34</v>
      </c>
      <c r="AW26" s="29" t="s">
        <v>37</v>
      </c>
    </row>
    <row r="27" spans="1:49" ht="12.75">
      <c r="A27" s="1">
        <v>23</v>
      </c>
      <c r="B27" s="48" t="s">
        <v>19</v>
      </c>
      <c r="C27" s="2" t="s">
        <v>29</v>
      </c>
      <c r="D27" s="5">
        <v>1</v>
      </c>
      <c r="E27" s="5">
        <v>1</v>
      </c>
      <c r="F27" s="12">
        <v>15296.875</v>
      </c>
      <c r="G27" s="4">
        <f t="shared" si="0"/>
        <v>15296.88</v>
      </c>
      <c r="H27" s="4">
        <f t="shared" si="1"/>
        <v>15296.88</v>
      </c>
      <c r="I27" s="4">
        <f t="shared" si="2"/>
        <v>15296.88</v>
      </c>
      <c r="J27" s="36">
        <f t="shared" si="3"/>
        <v>14312.87</v>
      </c>
      <c r="K27" s="39">
        <f t="shared" si="4"/>
        <v>14313</v>
      </c>
      <c r="L27" s="44">
        <v>1200</v>
      </c>
      <c r="M27" s="39">
        <v>7446</v>
      </c>
      <c r="N27" s="44">
        <f t="shared" si="5"/>
        <v>1241</v>
      </c>
      <c r="O27" s="44">
        <f t="shared" si="6"/>
        <v>1241</v>
      </c>
      <c r="P27" s="44">
        <f t="shared" si="7"/>
        <v>1241</v>
      </c>
      <c r="Q27" s="44">
        <f t="shared" si="8"/>
        <v>1241</v>
      </c>
      <c r="R27" s="44">
        <f t="shared" si="9"/>
        <v>1241</v>
      </c>
      <c r="S27" s="44"/>
      <c r="T27" s="44">
        <f t="shared" si="10"/>
        <v>1241</v>
      </c>
      <c r="U27" s="44">
        <f t="shared" si="11"/>
        <v>7446</v>
      </c>
      <c r="V27" s="44"/>
      <c r="W27" s="44"/>
      <c r="X27" s="89">
        <v>1431</v>
      </c>
      <c r="Y27" s="89">
        <v>1386</v>
      </c>
      <c r="Z27" s="89">
        <v>1431</v>
      </c>
      <c r="AA27" s="89">
        <v>1473</v>
      </c>
      <c r="AB27" s="44">
        <v>452</v>
      </c>
      <c r="AC27" s="95">
        <f t="shared" si="13"/>
        <v>3314</v>
      </c>
      <c r="AD27" s="95">
        <f t="shared" si="14"/>
        <v>455</v>
      </c>
      <c r="AE27" s="95">
        <v>450</v>
      </c>
      <c r="AF27" s="95">
        <f t="shared" si="15"/>
        <v>3309</v>
      </c>
      <c r="AG27" s="95">
        <f t="shared" si="16"/>
        <v>5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91">
        <f t="shared" si="12"/>
        <v>1883</v>
      </c>
      <c r="AR27" s="83">
        <f t="shared" si="17"/>
        <v>3314</v>
      </c>
      <c r="AS27" s="18" t="s">
        <v>33</v>
      </c>
      <c r="AT27" s="16"/>
      <c r="AU27" s="25">
        <v>3</v>
      </c>
      <c r="AV27" s="28">
        <v>34</v>
      </c>
      <c r="AW27" s="29" t="s">
        <v>37</v>
      </c>
    </row>
    <row r="28" spans="1:49" ht="12.75">
      <c r="A28" s="1">
        <v>24</v>
      </c>
      <c r="B28" s="48" t="s">
        <v>20</v>
      </c>
      <c r="C28" s="2" t="s">
        <v>29</v>
      </c>
      <c r="D28" s="5">
        <v>1</v>
      </c>
      <c r="E28" s="5">
        <v>1</v>
      </c>
      <c r="F28" s="12">
        <v>15296.875</v>
      </c>
      <c r="G28" s="4">
        <f t="shared" si="0"/>
        <v>15296.88</v>
      </c>
      <c r="H28" s="4">
        <f t="shared" si="1"/>
        <v>15296.88</v>
      </c>
      <c r="I28" s="4">
        <f t="shared" si="2"/>
        <v>15296.88</v>
      </c>
      <c r="J28" s="36">
        <f t="shared" si="3"/>
        <v>14312.87</v>
      </c>
      <c r="K28" s="39">
        <f t="shared" si="4"/>
        <v>14313</v>
      </c>
      <c r="L28" s="44">
        <v>1200</v>
      </c>
      <c r="M28" s="39">
        <v>7446</v>
      </c>
      <c r="N28" s="44">
        <f t="shared" si="5"/>
        <v>1241</v>
      </c>
      <c r="O28" s="44">
        <f t="shared" si="6"/>
        <v>1241</v>
      </c>
      <c r="P28" s="44">
        <f t="shared" si="7"/>
        <v>1241</v>
      </c>
      <c r="Q28" s="44">
        <f t="shared" si="8"/>
        <v>1241</v>
      </c>
      <c r="R28" s="44">
        <f t="shared" si="9"/>
        <v>1241</v>
      </c>
      <c r="S28" s="44"/>
      <c r="T28" s="44">
        <f t="shared" si="10"/>
        <v>1241</v>
      </c>
      <c r="U28" s="44">
        <f t="shared" si="11"/>
        <v>7446</v>
      </c>
      <c r="V28" s="44"/>
      <c r="W28" s="44"/>
      <c r="X28" s="89">
        <v>1431</v>
      </c>
      <c r="Y28" s="89">
        <v>1426.2</v>
      </c>
      <c r="Z28" s="89">
        <v>1431</v>
      </c>
      <c r="AA28" s="89">
        <v>1431</v>
      </c>
      <c r="AB28" s="44">
        <v>452</v>
      </c>
      <c r="AC28" s="95">
        <f t="shared" si="13"/>
        <v>3314</v>
      </c>
      <c r="AD28" s="95">
        <f t="shared" si="14"/>
        <v>456.79999999999995</v>
      </c>
      <c r="AE28" s="95">
        <v>453</v>
      </c>
      <c r="AF28" s="95">
        <f t="shared" si="15"/>
        <v>3310.2</v>
      </c>
      <c r="AG28" s="95">
        <f t="shared" si="16"/>
        <v>3.800000000000182</v>
      </c>
      <c r="AH28" s="44"/>
      <c r="AI28" s="44"/>
      <c r="AJ28" s="44"/>
      <c r="AK28" s="44"/>
      <c r="AL28" s="44"/>
      <c r="AM28" s="44"/>
      <c r="AN28" s="44"/>
      <c r="AO28" s="44"/>
      <c r="AP28" s="44"/>
      <c r="AQ28" s="91">
        <f t="shared" si="12"/>
        <v>1883</v>
      </c>
      <c r="AR28" s="83">
        <f t="shared" si="17"/>
        <v>3314</v>
      </c>
      <c r="AS28" s="18" t="s">
        <v>33</v>
      </c>
      <c r="AT28" s="16"/>
      <c r="AU28" s="25">
        <v>3</v>
      </c>
      <c r="AV28" s="28">
        <v>34</v>
      </c>
      <c r="AW28" s="29" t="s">
        <v>37</v>
      </c>
    </row>
    <row r="29" spans="1:49" ht="12.75">
      <c r="A29" s="1">
        <v>25</v>
      </c>
      <c r="B29" s="48" t="s">
        <v>21</v>
      </c>
      <c r="C29" s="2" t="s">
        <v>29</v>
      </c>
      <c r="D29" s="5">
        <v>1</v>
      </c>
      <c r="E29" s="3">
        <v>1.5</v>
      </c>
      <c r="F29" s="12">
        <v>15296.875</v>
      </c>
      <c r="G29" s="4">
        <f t="shared" si="0"/>
        <v>15296.88</v>
      </c>
      <c r="H29" s="4">
        <f t="shared" si="1"/>
        <v>15296.88</v>
      </c>
      <c r="I29" s="4">
        <f t="shared" si="2"/>
        <v>22945.32</v>
      </c>
      <c r="J29" s="36">
        <f t="shared" si="3"/>
        <v>21469.3</v>
      </c>
      <c r="K29" s="39">
        <f t="shared" si="4"/>
        <v>21469</v>
      </c>
      <c r="L29" s="44">
        <v>1800</v>
      </c>
      <c r="M29" s="39">
        <v>11170</v>
      </c>
      <c r="N29" s="44">
        <f t="shared" si="5"/>
        <v>1862</v>
      </c>
      <c r="O29" s="44">
        <f t="shared" si="6"/>
        <v>1862</v>
      </c>
      <c r="P29" s="44">
        <f t="shared" si="7"/>
        <v>1862</v>
      </c>
      <c r="Q29" s="44">
        <f t="shared" si="8"/>
        <v>1862</v>
      </c>
      <c r="R29" s="44">
        <f t="shared" si="9"/>
        <v>1862</v>
      </c>
      <c r="S29" s="44"/>
      <c r="T29" s="44">
        <f t="shared" si="10"/>
        <v>1860</v>
      </c>
      <c r="U29" s="44">
        <f t="shared" si="11"/>
        <v>11170</v>
      </c>
      <c r="V29" s="44"/>
      <c r="W29" s="44"/>
      <c r="X29" s="89">
        <v>2145</v>
      </c>
      <c r="Y29" s="89">
        <v>2151</v>
      </c>
      <c r="Z29" s="89">
        <v>2145</v>
      </c>
      <c r="AA29" s="89">
        <v>2139</v>
      </c>
      <c r="AB29" s="83">
        <v>677</v>
      </c>
      <c r="AC29" s="95">
        <f t="shared" si="13"/>
        <v>4967</v>
      </c>
      <c r="AD29" s="95">
        <f t="shared" si="14"/>
        <v>677</v>
      </c>
      <c r="AE29" s="95">
        <v>672</v>
      </c>
      <c r="AF29" s="95">
        <f t="shared" si="15"/>
        <v>4962</v>
      </c>
      <c r="AG29" s="95">
        <f t="shared" si="16"/>
        <v>5</v>
      </c>
      <c r="AH29" s="44"/>
      <c r="AI29" s="44"/>
      <c r="AJ29" s="44"/>
      <c r="AK29" s="44"/>
      <c r="AL29" s="44"/>
      <c r="AM29" s="44"/>
      <c r="AN29" s="44"/>
      <c r="AO29" s="44"/>
      <c r="AP29" s="44"/>
      <c r="AQ29" s="91">
        <f t="shared" si="12"/>
        <v>2822</v>
      </c>
      <c r="AR29" s="83">
        <f t="shared" si="17"/>
        <v>4967</v>
      </c>
      <c r="AS29" s="18"/>
      <c r="AT29" s="16" t="s">
        <v>46</v>
      </c>
      <c r="AU29" s="25">
        <v>3</v>
      </c>
      <c r="AV29" s="28">
        <v>34</v>
      </c>
      <c r="AW29" s="29" t="s">
        <v>37</v>
      </c>
    </row>
    <row r="30" spans="1:50" ht="12.75">
      <c r="A30" s="1">
        <v>26</v>
      </c>
      <c r="B30" s="48" t="s">
        <v>22</v>
      </c>
      <c r="C30" s="33" t="s">
        <v>30</v>
      </c>
      <c r="D30" s="3">
        <v>0.8</v>
      </c>
      <c r="E30" s="5">
        <v>1</v>
      </c>
      <c r="F30" s="12">
        <v>15296.875</v>
      </c>
      <c r="G30" s="4">
        <f t="shared" si="0"/>
        <v>12237.5</v>
      </c>
      <c r="H30" s="4">
        <f t="shared" si="1"/>
        <v>12237.5</v>
      </c>
      <c r="I30" s="4">
        <f t="shared" si="2"/>
        <v>12237.5</v>
      </c>
      <c r="J30" s="36">
        <f t="shared" si="3"/>
        <v>11450.29</v>
      </c>
      <c r="K30" s="39">
        <f t="shared" si="4"/>
        <v>11450</v>
      </c>
      <c r="L30" s="44">
        <v>1000</v>
      </c>
      <c r="M30" s="39">
        <v>5957</v>
      </c>
      <c r="N30" s="44">
        <f t="shared" si="5"/>
        <v>993</v>
      </c>
      <c r="O30" s="44">
        <f t="shared" si="6"/>
        <v>993</v>
      </c>
      <c r="P30" s="44">
        <f t="shared" si="7"/>
        <v>993</v>
      </c>
      <c r="Q30" s="44">
        <f t="shared" si="8"/>
        <v>993</v>
      </c>
      <c r="R30" s="44">
        <f t="shared" si="9"/>
        <v>993</v>
      </c>
      <c r="S30" s="44"/>
      <c r="T30" s="44">
        <f t="shared" si="10"/>
        <v>992</v>
      </c>
      <c r="U30" s="44">
        <f t="shared" si="11"/>
        <v>5957</v>
      </c>
      <c r="V30" s="44"/>
      <c r="W30" s="44"/>
      <c r="X30" s="89">
        <v>1145</v>
      </c>
      <c r="Y30" s="89">
        <v>1230</v>
      </c>
      <c r="Z30" s="89">
        <v>1145</v>
      </c>
      <c r="AA30" s="89">
        <v>1059</v>
      </c>
      <c r="AB30" s="44">
        <v>361</v>
      </c>
      <c r="AC30" s="95">
        <f t="shared" si="13"/>
        <v>2651</v>
      </c>
      <c r="AD30" s="95">
        <f t="shared" si="14"/>
        <v>362</v>
      </c>
      <c r="AE30" s="95">
        <v>360</v>
      </c>
      <c r="AF30" s="95">
        <f t="shared" si="15"/>
        <v>2649</v>
      </c>
      <c r="AG30" s="95">
        <f t="shared" si="16"/>
        <v>2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91">
        <f t="shared" si="12"/>
        <v>1506</v>
      </c>
      <c r="AR30" s="83">
        <f t="shared" si="17"/>
        <v>2651</v>
      </c>
      <c r="AS30" s="18" t="s">
        <v>33</v>
      </c>
      <c r="AT30" s="16"/>
      <c r="AU30" s="25">
        <v>3</v>
      </c>
      <c r="AV30" s="28">
        <v>34</v>
      </c>
      <c r="AW30" s="18" t="s">
        <v>37</v>
      </c>
      <c r="AX30" s="41" t="s">
        <v>53</v>
      </c>
    </row>
    <row r="31" spans="1:49" ht="12.75">
      <c r="A31" s="1">
        <v>27</v>
      </c>
      <c r="B31" s="48" t="s">
        <v>23</v>
      </c>
      <c r="C31" s="33" t="s">
        <v>30</v>
      </c>
      <c r="D31" s="3">
        <v>0.8</v>
      </c>
      <c r="E31" s="3">
        <v>1.5</v>
      </c>
      <c r="F31" s="12">
        <v>15296.875</v>
      </c>
      <c r="G31" s="4">
        <f t="shared" si="0"/>
        <v>12237.5</v>
      </c>
      <c r="H31" s="4">
        <f t="shared" si="1"/>
        <v>12237.5</v>
      </c>
      <c r="I31" s="4">
        <f t="shared" si="2"/>
        <v>18356.25</v>
      </c>
      <c r="J31" s="36">
        <f t="shared" si="3"/>
        <v>17175.44</v>
      </c>
      <c r="K31" s="39">
        <f t="shared" si="4"/>
        <v>17175</v>
      </c>
      <c r="L31" s="44">
        <v>1400</v>
      </c>
      <c r="M31" s="39">
        <v>8936</v>
      </c>
      <c r="N31" s="44">
        <f t="shared" si="5"/>
        <v>1489</v>
      </c>
      <c r="O31" s="44">
        <f t="shared" si="6"/>
        <v>1489</v>
      </c>
      <c r="P31" s="44">
        <f t="shared" si="7"/>
        <v>1489</v>
      </c>
      <c r="Q31" s="44">
        <f t="shared" si="8"/>
        <v>1489</v>
      </c>
      <c r="R31" s="44">
        <f t="shared" si="9"/>
        <v>1489</v>
      </c>
      <c r="S31" s="44"/>
      <c r="T31" s="44">
        <f t="shared" si="10"/>
        <v>1491</v>
      </c>
      <c r="U31" s="44">
        <f t="shared" si="11"/>
        <v>8936</v>
      </c>
      <c r="V31" s="44"/>
      <c r="W31" s="44"/>
      <c r="X31" s="89">
        <v>1716</v>
      </c>
      <c r="Y31" s="89">
        <v>1740.6</v>
      </c>
      <c r="Z31" s="89">
        <v>1716</v>
      </c>
      <c r="AA31" s="89">
        <v>1683.6</v>
      </c>
      <c r="AB31" s="44">
        <v>541</v>
      </c>
      <c r="AC31" s="95">
        <f t="shared" si="13"/>
        <v>3973</v>
      </c>
      <c r="AD31" s="95">
        <f t="shared" si="14"/>
        <v>548.8000000000002</v>
      </c>
      <c r="AE31" s="95">
        <v>540</v>
      </c>
      <c r="AF31" s="95">
        <f t="shared" si="15"/>
        <v>3964.2</v>
      </c>
      <c r="AG31" s="95">
        <f t="shared" si="16"/>
        <v>8.800000000000182</v>
      </c>
      <c r="AH31" s="44"/>
      <c r="AI31" s="44"/>
      <c r="AJ31" s="44"/>
      <c r="AK31" s="44"/>
      <c r="AL31" s="44"/>
      <c r="AM31" s="44"/>
      <c r="AN31" s="44"/>
      <c r="AO31" s="44"/>
      <c r="AP31" s="44"/>
      <c r="AQ31" s="91">
        <f t="shared" si="12"/>
        <v>2257</v>
      </c>
      <c r="AR31" s="83">
        <f t="shared" si="17"/>
        <v>3973</v>
      </c>
      <c r="AS31" s="18"/>
      <c r="AT31" s="16" t="s">
        <v>47</v>
      </c>
      <c r="AU31" s="25">
        <v>3</v>
      </c>
      <c r="AV31" s="28">
        <v>34</v>
      </c>
      <c r="AW31" s="29" t="s">
        <v>37</v>
      </c>
    </row>
    <row r="32" spans="1:49" ht="12.75">
      <c r="A32" s="1">
        <v>28</v>
      </c>
      <c r="B32" s="48" t="s">
        <v>24</v>
      </c>
      <c r="C32" s="33" t="s">
        <v>30</v>
      </c>
      <c r="D32" s="3">
        <v>0.8</v>
      </c>
      <c r="E32" s="3">
        <v>1.5</v>
      </c>
      <c r="F32" s="12">
        <v>15296.875</v>
      </c>
      <c r="G32" s="4">
        <f t="shared" si="0"/>
        <v>12237.5</v>
      </c>
      <c r="H32" s="4">
        <f t="shared" si="1"/>
        <v>12237.5</v>
      </c>
      <c r="I32" s="4">
        <f t="shared" si="2"/>
        <v>18356.25</v>
      </c>
      <c r="J32" s="36">
        <f t="shared" si="3"/>
        <v>17175.44</v>
      </c>
      <c r="K32" s="39">
        <f t="shared" si="4"/>
        <v>17175</v>
      </c>
      <c r="L32" s="44">
        <v>1400</v>
      </c>
      <c r="M32" s="39">
        <v>8936</v>
      </c>
      <c r="N32" s="44">
        <f t="shared" si="5"/>
        <v>1489</v>
      </c>
      <c r="O32" s="44">
        <f t="shared" si="6"/>
        <v>1489</v>
      </c>
      <c r="P32" s="44">
        <f t="shared" si="7"/>
        <v>1489</v>
      </c>
      <c r="Q32" s="44">
        <f t="shared" si="8"/>
        <v>1489</v>
      </c>
      <c r="R32" s="44">
        <f t="shared" si="9"/>
        <v>1489</v>
      </c>
      <c r="S32" s="44"/>
      <c r="T32" s="44">
        <f t="shared" si="10"/>
        <v>1491</v>
      </c>
      <c r="U32" s="44">
        <f t="shared" si="11"/>
        <v>8936</v>
      </c>
      <c r="V32" s="44"/>
      <c r="W32" s="44"/>
      <c r="X32" s="89">
        <v>1716</v>
      </c>
      <c r="Y32" s="89">
        <v>1713.6</v>
      </c>
      <c r="Z32" s="89">
        <v>1716</v>
      </c>
      <c r="AA32" s="89">
        <v>1678.2</v>
      </c>
      <c r="AB32" s="44">
        <v>541</v>
      </c>
      <c r="AC32" s="95">
        <f t="shared" si="13"/>
        <v>3973</v>
      </c>
      <c r="AD32" s="96">
        <f t="shared" si="14"/>
        <v>581.2</v>
      </c>
      <c r="AE32" s="96">
        <v>570</v>
      </c>
      <c r="AF32" s="95">
        <f t="shared" si="15"/>
        <v>3961.7999999999997</v>
      </c>
      <c r="AG32" s="95">
        <f t="shared" si="16"/>
        <v>11.200000000000273</v>
      </c>
      <c r="AH32" s="44"/>
      <c r="AI32" s="44"/>
      <c r="AJ32" s="44"/>
      <c r="AK32" s="44"/>
      <c r="AL32" s="44"/>
      <c r="AM32" s="44"/>
      <c r="AN32" s="44"/>
      <c r="AO32" s="44"/>
      <c r="AP32" s="44"/>
      <c r="AQ32" s="91">
        <f t="shared" si="12"/>
        <v>2257</v>
      </c>
      <c r="AR32" s="83">
        <f t="shared" si="17"/>
        <v>3973</v>
      </c>
      <c r="AS32" s="18"/>
      <c r="AT32" s="16" t="s">
        <v>42</v>
      </c>
      <c r="AU32" s="25">
        <v>3</v>
      </c>
      <c r="AV32" s="28">
        <v>34</v>
      </c>
      <c r="AW32" s="29" t="s">
        <v>37</v>
      </c>
    </row>
    <row r="33" spans="1:49" ht="12.75">
      <c r="A33" s="1">
        <v>29</v>
      </c>
      <c r="B33" s="49" t="s">
        <v>25</v>
      </c>
      <c r="C33" s="34" t="s">
        <v>30</v>
      </c>
      <c r="D33" s="9">
        <v>0.8</v>
      </c>
      <c r="E33" s="9">
        <v>1.5</v>
      </c>
      <c r="F33" s="12">
        <v>15296.875</v>
      </c>
      <c r="G33" s="4">
        <f t="shared" si="0"/>
        <v>12237.5</v>
      </c>
      <c r="H33" s="4">
        <f t="shared" si="1"/>
        <v>12237.5</v>
      </c>
      <c r="I33" s="4">
        <f t="shared" si="2"/>
        <v>18356.25</v>
      </c>
      <c r="J33" s="36">
        <f t="shared" si="3"/>
        <v>17175.44</v>
      </c>
      <c r="K33" s="39">
        <f t="shared" si="4"/>
        <v>17175</v>
      </c>
      <c r="L33" s="51">
        <v>1250</v>
      </c>
      <c r="M33" s="50">
        <v>7884</v>
      </c>
      <c r="N33" s="44">
        <f t="shared" si="5"/>
        <v>1314</v>
      </c>
      <c r="O33" s="44">
        <f t="shared" si="6"/>
        <v>1314</v>
      </c>
      <c r="P33" s="44">
        <f t="shared" si="7"/>
        <v>1314</v>
      </c>
      <c r="Q33" s="44">
        <f t="shared" si="8"/>
        <v>1314</v>
      </c>
      <c r="R33" s="44">
        <f t="shared" si="9"/>
        <v>1314</v>
      </c>
      <c r="S33" s="51"/>
      <c r="T33" s="44">
        <f t="shared" si="10"/>
        <v>1314</v>
      </c>
      <c r="U33" s="44">
        <f t="shared" si="11"/>
        <v>7884</v>
      </c>
      <c r="V33" s="51"/>
      <c r="W33" s="51"/>
      <c r="X33" s="90">
        <v>1716</v>
      </c>
      <c r="Y33" s="90">
        <v>1761.6</v>
      </c>
      <c r="Z33" s="90">
        <v>1716</v>
      </c>
      <c r="AA33" s="90">
        <v>1668</v>
      </c>
      <c r="AB33" s="44">
        <v>541</v>
      </c>
      <c r="AC33" s="95">
        <f t="shared" si="13"/>
        <v>3973</v>
      </c>
      <c r="AD33" s="96">
        <f t="shared" si="14"/>
        <v>543.4000000000001</v>
      </c>
      <c r="AE33" s="96">
        <v>540</v>
      </c>
      <c r="AF33" s="95">
        <f t="shared" si="15"/>
        <v>3969.6</v>
      </c>
      <c r="AG33" s="95">
        <f t="shared" si="16"/>
        <v>3.400000000000091</v>
      </c>
      <c r="AH33" s="51"/>
      <c r="AI33" s="51"/>
      <c r="AJ33" s="51"/>
      <c r="AK33" s="51"/>
      <c r="AL33" s="51"/>
      <c r="AM33" s="51"/>
      <c r="AN33" s="51"/>
      <c r="AO33" s="51"/>
      <c r="AP33" s="44"/>
      <c r="AQ33" s="91">
        <f t="shared" si="12"/>
        <v>2257</v>
      </c>
      <c r="AR33" s="83">
        <f t="shared" si="17"/>
        <v>3973</v>
      </c>
      <c r="AS33" s="42"/>
      <c r="AT33" s="21" t="s">
        <v>55</v>
      </c>
      <c r="AU33" s="25">
        <v>3</v>
      </c>
      <c r="AV33" s="31">
        <v>30</v>
      </c>
      <c r="AW33" s="32" t="s">
        <v>37</v>
      </c>
    </row>
    <row r="34" spans="1:49" ht="12.75">
      <c r="A34" s="1">
        <v>30</v>
      </c>
      <c r="B34" s="48" t="s">
        <v>64</v>
      </c>
      <c r="C34" s="34" t="s">
        <v>30</v>
      </c>
      <c r="D34" s="9">
        <v>0.8</v>
      </c>
      <c r="E34" s="3">
        <v>1</v>
      </c>
      <c r="F34" s="12">
        <v>15296.875</v>
      </c>
      <c r="G34" s="4">
        <f t="shared" si="0"/>
        <v>12237.5</v>
      </c>
      <c r="H34" s="4">
        <f t="shared" si="1"/>
        <v>12237.5</v>
      </c>
      <c r="I34" s="4">
        <f t="shared" si="2"/>
        <v>12237.5</v>
      </c>
      <c r="J34" s="36">
        <f t="shared" si="3"/>
        <v>11450.29</v>
      </c>
      <c r="K34" s="39">
        <f t="shared" si="4"/>
        <v>11450</v>
      </c>
      <c r="L34" s="65"/>
      <c r="M34" s="39">
        <v>5870</v>
      </c>
      <c r="N34" s="44">
        <f t="shared" si="5"/>
        <v>978</v>
      </c>
      <c r="O34" s="44">
        <f t="shared" si="6"/>
        <v>978</v>
      </c>
      <c r="P34" s="44">
        <f t="shared" si="7"/>
        <v>978</v>
      </c>
      <c r="Q34" s="44">
        <f t="shared" si="8"/>
        <v>978</v>
      </c>
      <c r="R34" s="44">
        <f t="shared" si="9"/>
        <v>978</v>
      </c>
      <c r="S34" s="65"/>
      <c r="T34" s="44">
        <f t="shared" si="10"/>
        <v>980</v>
      </c>
      <c r="U34" s="44">
        <f t="shared" si="11"/>
        <v>5870</v>
      </c>
      <c r="V34" s="44"/>
      <c r="W34" s="44"/>
      <c r="X34" s="89">
        <v>1145</v>
      </c>
      <c r="Y34" s="89">
        <v>1161</v>
      </c>
      <c r="Z34" s="89">
        <v>1145</v>
      </c>
      <c r="AA34" s="89">
        <v>1116</v>
      </c>
      <c r="AB34" s="44">
        <v>361</v>
      </c>
      <c r="AC34" s="95">
        <f t="shared" si="13"/>
        <v>2651</v>
      </c>
      <c r="AD34" s="96">
        <f t="shared" si="14"/>
        <v>374</v>
      </c>
      <c r="AE34" s="96">
        <v>363</v>
      </c>
      <c r="AF34" s="95">
        <f t="shared" si="15"/>
        <v>2640</v>
      </c>
      <c r="AG34" s="95">
        <f t="shared" si="16"/>
        <v>11</v>
      </c>
      <c r="AH34" s="44"/>
      <c r="AI34" s="44"/>
      <c r="AJ34" s="44"/>
      <c r="AK34" s="44"/>
      <c r="AL34" s="44"/>
      <c r="AM34" s="44"/>
      <c r="AN34" s="44"/>
      <c r="AO34" s="44"/>
      <c r="AP34" s="44"/>
      <c r="AQ34" s="91">
        <f t="shared" si="12"/>
        <v>1506</v>
      </c>
      <c r="AR34" s="83">
        <f t="shared" si="17"/>
        <v>2651</v>
      </c>
      <c r="AS34" s="18" t="s">
        <v>33</v>
      </c>
      <c r="AT34" s="16"/>
      <c r="AU34" s="25">
        <v>3</v>
      </c>
      <c r="AV34" s="66">
        <v>33.5</v>
      </c>
      <c r="AW34" s="32" t="s">
        <v>37</v>
      </c>
    </row>
    <row r="35" spans="1:49" ht="12.75">
      <c r="A35" s="1">
        <v>31</v>
      </c>
      <c r="B35" s="48" t="s">
        <v>65</v>
      </c>
      <c r="C35" s="34" t="s">
        <v>30</v>
      </c>
      <c r="D35" s="9">
        <v>0.8</v>
      </c>
      <c r="E35" s="3">
        <v>1</v>
      </c>
      <c r="F35" s="12">
        <v>15296.875</v>
      </c>
      <c r="G35" s="4">
        <f t="shared" si="0"/>
        <v>12237.5</v>
      </c>
      <c r="H35" s="4">
        <f t="shared" si="1"/>
        <v>12237.5</v>
      </c>
      <c r="I35" s="4">
        <f t="shared" si="2"/>
        <v>12237.5</v>
      </c>
      <c r="J35" s="36">
        <f>ROUND(I35*489500/523153.22,2)-0.08</f>
        <v>11450.210000000001</v>
      </c>
      <c r="K35" s="39">
        <f>ROUND(J35,0)+4</f>
        <v>11454</v>
      </c>
      <c r="L35" s="65"/>
      <c r="M35" s="39">
        <v>5962</v>
      </c>
      <c r="N35" s="44">
        <f t="shared" si="5"/>
        <v>994</v>
      </c>
      <c r="O35" s="44">
        <f t="shared" si="6"/>
        <v>994</v>
      </c>
      <c r="P35" s="44">
        <f t="shared" si="7"/>
        <v>994</v>
      </c>
      <c r="Q35" s="44">
        <f t="shared" si="8"/>
        <v>994</v>
      </c>
      <c r="R35" s="44">
        <f t="shared" si="9"/>
        <v>994</v>
      </c>
      <c r="S35" s="65"/>
      <c r="T35" s="44">
        <f t="shared" si="10"/>
        <v>992</v>
      </c>
      <c r="U35" s="44">
        <f t="shared" si="11"/>
        <v>5962</v>
      </c>
      <c r="V35" s="44"/>
      <c r="W35" s="44"/>
      <c r="X35" s="89">
        <v>1147</v>
      </c>
      <c r="Y35" s="89">
        <v>1146</v>
      </c>
      <c r="Z35" s="89">
        <v>1147</v>
      </c>
      <c r="AA35" s="89">
        <v>1143</v>
      </c>
      <c r="AB35" s="44">
        <f>363+7</f>
        <v>370</v>
      </c>
      <c r="AC35" s="95">
        <f t="shared" si="13"/>
        <v>2664</v>
      </c>
      <c r="AD35" s="95">
        <f t="shared" si="14"/>
        <v>375</v>
      </c>
      <c r="AE35" s="95">
        <v>366</v>
      </c>
      <c r="AF35" s="95">
        <f t="shared" si="15"/>
        <v>2655</v>
      </c>
      <c r="AG35" s="95">
        <f t="shared" si="16"/>
        <v>9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91">
        <f t="shared" si="12"/>
        <v>1517</v>
      </c>
      <c r="AR35" s="83">
        <f t="shared" si="17"/>
        <v>2664</v>
      </c>
      <c r="AS35" s="18" t="s">
        <v>33</v>
      </c>
      <c r="AT35" s="16"/>
      <c r="AU35" s="25">
        <v>3</v>
      </c>
      <c r="AV35" s="66">
        <v>34</v>
      </c>
      <c r="AW35" s="32" t="s">
        <v>37</v>
      </c>
    </row>
    <row r="36" spans="1:49" ht="14.25" customHeight="1" thickBot="1">
      <c r="A36" s="52"/>
      <c r="B36" s="53" t="s">
        <v>32</v>
      </c>
      <c r="C36" s="54"/>
      <c r="D36" s="55"/>
      <c r="E36" s="56"/>
      <c r="F36" s="57">
        <f aca="true" t="shared" si="18" ref="F36:K36">SUM(F5:F35)</f>
        <v>474203.125</v>
      </c>
      <c r="G36" s="58">
        <f t="shared" si="18"/>
        <v>449728.2100000001</v>
      </c>
      <c r="H36" s="58">
        <f t="shared" si="18"/>
        <v>449728.2100000001</v>
      </c>
      <c r="I36" s="58">
        <f t="shared" si="18"/>
        <v>507856.3400000001</v>
      </c>
      <c r="J36" s="59">
        <f t="shared" si="18"/>
        <v>475187.1299999999</v>
      </c>
      <c r="K36" s="69">
        <f t="shared" si="18"/>
        <v>475187</v>
      </c>
      <c r="L36" s="60">
        <f>SUM(L5:L33)</f>
        <v>37800</v>
      </c>
      <c r="M36" s="59">
        <f aca="true" t="shared" si="19" ref="M36:R36">SUM(M5:M35)</f>
        <v>245273</v>
      </c>
      <c r="N36" s="60">
        <f t="shared" si="19"/>
        <v>40879</v>
      </c>
      <c r="O36" s="60">
        <f t="shared" si="19"/>
        <v>40879</v>
      </c>
      <c r="P36" s="60">
        <f t="shared" si="19"/>
        <v>40879</v>
      </c>
      <c r="Q36" s="60">
        <f t="shared" si="19"/>
        <v>40879</v>
      </c>
      <c r="R36" s="60">
        <f t="shared" si="19"/>
        <v>40879</v>
      </c>
      <c r="S36" s="60" t="e">
        <f>K36-L36-#REF!-N36-O36-P36-Q36-R36</f>
        <v>#REF!</v>
      </c>
      <c r="T36" s="60">
        <f>SUM(T5:T35)</f>
        <v>40878</v>
      </c>
      <c r="U36" s="60">
        <f>SUM(U5:U35)</f>
        <v>245273</v>
      </c>
      <c r="V36" s="60">
        <v>44500</v>
      </c>
      <c r="W36" s="60"/>
      <c r="X36" s="60">
        <f>SUM(X5:X35)</f>
        <v>47500</v>
      </c>
      <c r="Y36" s="60">
        <f>SUM(Y5:Y35)</f>
        <v>47592.59999999999</v>
      </c>
      <c r="Z36" s="60">
        <f aca="true" t="shared" si="20" ref="Z36:AQ36">SUM(Z5:Z35)</f>
        <v>47500</v>
      </c>
      <c r="AA36" s="60">
        <f aca="true" t="shared" si="21" ref="AA36:AG36">SUM(AA5:AA35)</f>
        <v>46901.39999999999</v>
      </c>
      <c r="AB36" s="60">
        <f t="shared" si="21"/>
        <v>15000</v>
      </c>
      <c r="AC36" s="94">
        <f t="shared" si="21"/>
        <v>110000</v>
      </c>
      <c r="AD36" s="94">
        <f t="shared" si="21"/>
        <v>15505.999999999998</v>
      </c>
      <c r="AE36" s="94">
        <f t="shared" si="21"/>
        <v>15198</v>
      </c>
      <c r="AF36" s="94">
        <f t="shared" si="21"/>
        <v>109692.00000000001</v>
      </c>
      <c r="AG36" s="94">
        <f t="shared" si="21"/>
        <v>307.99999999999955</v>
      </c>
      <c r="AH36" s="60">
        <f t="shared" si="20"/>
        <v>0</v>
      </c>
      <c r="AI36" s="60">
        <f t="shared" si="20"/>
        <v>0</v>
      </c>
      <c r="AJ36" s="60">
        <f t="shared" si="20"/>
        <v>0</v>
      </c>
      <c r="AK36" s="60">
        <f t="shared" si="20"/>
        <v>0</v>
      </c>
      <c r="AL36" s="60">
        <f t="shared" si="20"/>
        <v>0</v>
      </c>
      <c r="AM36" s="60">
        <f t="shared" si="20"/>
        <v>0</v>
      </c>
      <c r="AN36" s="60">
        <f t="shared" si="20"/>
        <v>0</v>
      </c>
      <c r="AO36" s="60">
        <f t="shared" si="20"/>
        <v>0</v>
      </c>
      <c r="AP36" s="60">
        <f t="shared" si="20"/>
        <v>0</v>
      </c>
      <c r="AQ36" s="92">
        <f t="shared" si="20"/>
        <v>62500</v>
      </c>
      <c r="AR36" s="60">
        <f>SUM(AR5:AR35)</f>
        <v>110000</v>
      </c>
      <c r="AS36" s="61"/>
      <c r="AT36" s="62"/>
      <c r="AU36" s="25"/>
      <c r="AV36" s="63"/>
      <c r="AW36" s="64"/>
    </row>
    <row r="37" spans="3:48" ht="12.75">
      <c r="C37" s="14"/>
      <c r="D37" s="14"/>
      <c r="E37" s="14"/>
      <c r="F37" s="15"/>
      <c r="G37" s="14"/>
      <c r="H37" s="14"/>
      <c r="I37" s="15"/>
      <c r="J37" s="37"/>
      <c r="K37" s="39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7"/>
      <c r="Y37" s="37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T37" s="43"/>
      <c r="AU37" s="43"/>
      <c r="AV37" s="22"/>
    </row>
    <row r="38" spans="2:48" ht="12.75">
      <c r="B38" s="10"/>
      <c r="C38" s="14"/>
      <c r="D38" s="14"/>
      <c r="E38" s="14"/>
      <c r="F38" s="15"/>
      <c r="G38" s="14"/>
      <c r="H38" s="14"/>
      <c r="I38" s="15"/>
      <c r="J38" s="37"/>
      <c r="K38" s="87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37"/>
      <c r="Y38" s="37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23"/>
      <c r="AT38" s="43"/>
      <c r="AU38" s="43"/>
      <c r="AV38" s="22"/>
    </row>
    <row r="40" ht="13.5">
      <c r="F40" s="68">
        <v>44500</v>
      </c>
    </row>
    <row r="41" ht="12.75">
      <c r="F41" s="47"/>
    </row>
    <row r="42" ht="12.75">
      <c r="F42" s="67"/>
    </row>
    <row r="43" ht="12.75">
      <c r="F43" s="46"/>
    </row>
  </sheetData>
  <printOptions/>
  <pageMargins left="0" right="0" top="0.1968503937007874" bottom="0.1968503937007874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P44"/>
  <sheetViews>
    <sheetView tabSelected="1" workbookViewId="0" topLeftCell="AO1">
      <pane ySplit="2" topLeftCell="BM3" activePane="bottomLeft" state="frozen"/>
      <selection pane="topLeft" activeCell="A1" sqref="A1"/>
      <selection pane="bottomLeft" activeCell="BA3" sqref="BA3:BA26"/>
    </sheetView>
  </sheetViews>
  <sheetFormatPr defaultColWidth="9.140625" defaultRowHeight="12.75"/>
  <cols>
    <col min="2" max="2" width="3.28125" style="107" customWidth="1"/>
    <col min="3" max="3" width="21.57421875" style="297" customWidth="1"/>
    <col min="4" max="4" width="3.28125" style="0" customWidth="1"/>
    <col min="5" max="5" width="4.140625" style="0" customWidth="1"/>
    <col min="6" max="6" width="4.28125" style="0" customWidth="1"/>
    <col min="7" max="7" width="4.8515625" style="0" hidden="1" customWidth="1"/>
    <col min="8" max="8" width="8.57421875" style="0" hidden="1" customWidth="1"/>
    <col min="9" max="9" width="5.8515625" style="0" hidden="1" customWidth="1"/>
    <col min="10" max="10" width="6.8515625" style="13" hidden="1" customWidth="1"/>
    <col min="11" max="11" width="7.57421875" style="11" hidden="1" customWidth="1"/>
    <col min="12" max="12" width="7.8515625" style="106" hidden="1" customWidth="1"/>
    <col min="13" max="13" width="7.57421875" style="11" hidden="1" customWidth="1"/>
    <col min="14" max="14" width="7.57421875" style="38" hidden="1" customWidth="1"/>
    <col min="15" max="15" width="8.57421875" style="40" hidden="1" customWidth="1"/>
    <col min="16" max="16" width="7.421875" style="45" hidden="1" customWidth="1"/>
    <col min="17" max="17" width="8.8515625" style="45" hidden="1" customWidth="1"/>
    <col min="18" max="19" width="7.140625" style="45" hidden="1" customWidth="1"/>
    <col min="20" max="20" width="7.28125" style="45" hidden="1" customWidth="1"/>
    <col min="21" max="21" width="7.421875" style="45" hidden="1" customWidth="1"/>
    <col min="22" max="23" width="7.28125" style="45" hidden="1" customWidth="1"/>
    <col min="24" max="24" width="8.57421875" style="45" hidden="1" customWidth="1"/>
    <col min="25" max="27" width="8.421875" style="45" hidden="1" customWidth="1"/>
    <col min="28" max="28" width="6.28125" style="45" hidden="1" customWidth="1"/>
    <col min="29" max="29" width="6.421875" style="101" hidden="1" customWidth="1"/>
    <col min="30" max="30" width="6.00390625" style="101" hidden="1" customWidth="1"/>
    <col min="31" max="31" width="6.57421875" style="101" hidden="1" customWidth="1"/>
    <col min="32" max="32" width="7.421875" style="178" hidden="1" customWidth="1"/>
    <col min="33" max="35" width="7.28125" style="45" hidden="1" customWidth="1"/>
    <col min="36" max="36" width="7.57421875" style="116" hidden="1" customWidth="1"/>
    <col min="37" max="37" width="5.28125" style="101" hidden="1" customWidth="1"/>
    <col min="38" max="38" width="6.8515625" style="101" hidden="1" customWidth="1"/>
    <col min="39" max="39" width="9.00390625" style="189" hidden="1" customWidth="1"/>
    <col min="40" max="40" width="6.28125" style="207" hidden="1" customWidth="1"/>
    <col min="41" max="42" width="7.28125" style="191" customWidth="1"/>
    <col min="43" max="45" width="9.421875" style="332" customWidth="1"/>
    <col min="46" max="46" width="6.7109375" style="342" customWidth="1"/>
    <col min="47" max="47" width="7.421875" style="271" customWidth="1"/>
    <col min="48" max="48" width="6.7109375" style="271" customWidth="1"/>
    <col min="49" max="49" width="5.28125" style="241" customWidth="1"/>
    <col min="50" max="50" width="7.57421875" style="241" customWidth="1"/>
    <col min="51" max="51" width="6.57421875" style="241" customWidth="1"/>
    <col min="52" max="52" width="8.7109375" style="241" customWidth="1"/>
    <col min="53" max="53" width="7.140625" style="241" customWidth="1"/>
    <col min="54" max="54" width="8.57421875" style="279" customWidth="1"/>
    <col min="55" max="56" width="7.8515625" style="241" customWidth="1"/>
    <col min="57" max="57" width="7.28125" style="101" customWidth="1"/>
    <col min="58" max="58" width="7.7109375" style="275" customWidth="1"/>
    <col min="59" max="59" width="7.57421875" style="101" customWidth="1"/>
    <col min="60" max="60" width="6.421875" style="326" customWidth="1"/>
    <col min="61" max="61" width="5.57421875" style="101" customWidth="1"/>
    <col min="62" max="62" width="10.7109375" style="101" customWidth="1"/>
    <col min="63" max="63" width="4.7109375" style="24" customWidth="1"/>
    <col min="64" max="64" width="7.8515625" style="24" customWidth="1"/>
    <col min="65" max="65" width="3.8515625" style="24" customWidth="1"/>
    <col min="66" max="67" width="17.7109375" style="15" customWidth="1"/>
    <col min="68" max="68" width="8.8515625" style="15" customWidth="1"/>
  </cols>
  <sheetData>
    <row r="1" spans="2:65" s="14" customFormat="1" ht="18" thickBot="1">
      <c r="B1" s="212" t="s">
        <v>121</v>
      </c>
      <c r="C1" s="288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  <c r="AD1" s="114"/>
      <c r="AE1" s="114"/>
      <c r="AF1" s="114"/>
      <c r="AG1" s="113"/>
      <c r="AH1" s="113"/>
      <c r="AI1" s="113"/>
      <c r="AJ1" s="114"/>
      <c r="AK1" s="114"/>
      <c r="AL1" s="114"/>
      <c r="AM1" s="114"/>
      <c r="AN1" s="208"/>
      <c r="AO1" s="210"/>
      <c r="AP1" s="210"/>
      <c r="AQ1" s="113"/>
      <c r="AR1" s="113"/>
      <c r="AS1" s="113"/>
      <c r="AT1" s="270"/>
      <c r="AU1" s="270"/>
      <c r="AV1" s="270"/>
      <c r="AW1" s="245"/>
      <c r="AX1" s="245"/>
      <c r="AY1" s="245"/>
      <c r="AZ1" s="245"/>
      <c r="BA1" s="245"/>
      <c r="BB1" s="276"/>
      <c r="BC1" s="245"/>
      <c r="BD1" s="245"/>
      <c r="BE1" s="114"/>
      <c r="BF1" s="273"/>
      <c r="BG1" s="114"/>
      <c r="BH1" s="317"/>
      <c r="BI1" s="114"/>
      <c r="BJ1" s="114"/>
      <c r="BK1" s="211"/>
      <c r="BL1" s="211"/>
      <c r="BM1" s="211"/>
    </row>
    <row r="2" spans="2:68" s="108" customFormat="1" ht="142.5" customHeight="1" thickBot="1">
      <c r="B2" s="70" t="s">
        <v>26</v>
      </c>
      <c r="C2" s="71" t="s">
        <v>92</v>
      </c>
      <c r="D2" s="72" t="s">
        <v>28</v>
      </c>
      <c r="E2" s="258" t="s">
        <v>82</v>
      </c>
      <c r="F2" s="258" t="s">
        <v>83</v>
      </c>
      <c r="G2" s="259" t="s">
        <v>88</v>
      </c>
      <c r="H2" s="259" t="s">
        <v>89</v>
      </c>
      <c r="I2" s="259" t="s">
        <v>90</v>
      </c>
      <c r="J2" s="35" t="s">
        <v>54</v>
      </c>
      <c r="K2" s="74" t="s">
        <v>48</v>
      </c>
      <c r="L2" s="74" t="s">
        <v>51</v>
      </c>
      <c r="M2" s="74" t="s">
        <v>49</v>
      </c>
      <c r="N2" s="74" t="s">
        <v>50</v>
      </c>
      <c r="O2" s="75" t="s">
        <v>86</v>
      </c>
      <c r="P2" s="76" t="s">
        <v>62</v>
      </c>
      <c r="Q2" s="75" t="s">
        <v>66</v>
      </c>
      <c r="R2" s="76" t="s">
        <v>56</v>
      </c>
      <c r="S2" s="76" t="s">
        <v>57</v>
      </c>
      <c r="T2" s="76" t="s">
        <v>58</v>
      </c>
      <c r="U2" s="76" t="s">
        <v>59</v>
      </c>
      <c r="V2" s="76" t="s">
        <v>60</v>
      </c>
      <c r="W2" s="76" t="s">
        <v>61</v>
      </c>
      <c r="X2" s="76" t="s">
        <v>61</v>
      </c>
      <c r="Y2" s="76" t="s">
        <v>67</v>
      </c>
      <c r="Z2" s="76"/>
      <c r="AA2" s="76"/>
      <c r="AB2" s="260" t="s">
        <v>107</v>
      </c>
      <c r="AC2" s="261" t="s">
        <v>93</v>
      </c>
      <c r="AD2" s="261" t="s">
        <v>94</v>
      </c>
      <c r="AE2" s="261" t="s">
        <v>95</v>
      </c>
      <c r="AF2" s="262" t="s">
        <v>84</v>
      </c>
      <c r="AG2" s="259" t="s">
        <v>105</v>
      </c>
      <c r="AH2" s="259" t="s">
        <v>106</v>
      </c>
      <c r="AI2" s="263" t="s">
        <v>96</v>
      </c>
      <c r="AJ2" s="261" t="s">
        <v>97</v>
      </c>
      <c r="AK2" s="261" t="s">
        <v>98</v>
      </c>
      <c r="AL2" s="262" t="s">
        <v>85</v>
      </c>
      <c r="AM2" s="264"/>
      <c r="AN2" s="265" t="s">
        <v>99</v>
      </c>
      <c r="AO2" s="272" t="s">
        <v>137</v>
      </c>
      <c r="AP2" s="335" t="s">
        <v>141</v>
      </c>
      <c r="AQ2" s="331" t="s">
        <v>139</v>
      </c>
      <c r="AR2" s="331" t="s">
        <v>144</v>
      </c>
      <c r="AS2" s="331" t="s">
        <v>145</v>
      </c>
      <c r="AT2" s="340" t="s">
        <v>140</v>
      </c>
      <c r="AU2" s="333" t="s">
        <v>110</v>
      </c>
      <c r="AV2" s="333" t="s">
        <v>111</v>
      </c>
      <c r="AW2" s="286" t="s">
        <v>120</v>
      </c>
      <c r="AX2" s="266" t="s">
        <v>112</v>
      </c>
      <c r="AY2" s="266" t="s">
        <v>113</v>
      </c>
      <c r="AZ2" s="266" t="s">
        <v>114</v>
      </c>
      <c r="BA2" s="286" t="s">
        <v>85</v>
      </c>
      <c r="BB2" s="266" t="s">
        <v>115</v>
      </c>
      <c r="BC2" s="266" t="s">
        <v>116</v>
      </c>
      <c r="BD2" s="266" t="s">
        <v>117</v>
      </c>
      <c r="BE2" s="262" t="s">
        <v>119</v>
      </c>
      <c r="BF2" s="274" t="s">
        <v>100</v>
      </c>
      <c r="BG2" s="267" t="s">
        <v>101</v>
      </c>
      <c r="BH2" s="268" t="s">
        <v>102</v>
      </c>
      <c r="BI2" s="262" t="s">
        <v>87</v>
      </c>
      <c r="BJ2" s="336" t="s">
        <v>147</v>
      </c>
      <c r="BK2" s="77" t="s">
        <v>33</v>
      </c>
      <c r="BL2" s="77" t="s">
        <v>34</v>
      </c>
      <c r="BM2" s="269" t="s">
        <v>69</v>
      </c>
      <c r="BN2" s="280"/>
      <c r="BO2" s="280"/>
      <c r="BP2" s="280"/>
    </row>
    <row r="3" spans="2:68" s="129" customFormat="1" ht="25.5" customHeight="1">
      <c r="B3" s="118">
        <v>1</v>
      </c>
      <c r="C3" s="289" t="s">
        <v>0</v>
      </c>
      <c r="D3" s="255" t="s">
        <v>29</v>
      </c>
      <c r="E3" s="121">
        <v>1</v>
      </c>
      <c r="F3" s="121">
        <v>1</v>
      </c>
      <c r="G3" s="121">
        <f>E3*F3</f>
        <v>1</v>
      </c>
      <c r="H3" s="124">
        <f>(125000/22.1)*G3</f>
        <v>5656.108597285068</v>
      </c>
      <c r="I3" s="121">
        <f>ROUND(((125000/3)/22.1)*G3,0)</f>
        <v>1885</v>
      </c>
      <c r="J3" s="122">
        <f>ROUND(33000/21,0)</f>
        <v>1571</v>
      </c>
      <c r="K3" s="123">
        <f aca="true" t="shared" si="0" ref="K3:K19">ROUND(J3*E3,2)</f>
        <v>1571</v>
      </c>
      <c r="L3" s="123">
        <f aca="true" t="shared" si="1" ref="L3:L19">ROUND(K3*BM3/BM3,2)</f>
        <v>1571</v>
      </c>
      <c r="M3" s="123">
        <f aca="true" t="shared" si="2" ref="M3:M19">ROUND(K3*F3,2)</f>
        <v>1571</v>
      </c>
      <c r="N3" s="123">
        <f>ROUND(M3*33000/34719.1,2)</f>
        <v>1493.21</v>
      </c>
      <c r="O3" s="124">
        <f aca="true" t="shared" si="3" ref="O3:O19">ROUND(N3,0)</f>
        <v>1493</v>
      </c>
      <c r="P3" s="124">
        <v>1200</v>
      </c>
      <c r="Q3" s="124">
        <v>7446</v>
      </c>
      <c r="R3" s="124">
        <f aca="true" t="shared" si="4" ref="R3:R14">ROUND(Q3/6,0)</f>
        <v>1241</v>
      </c>
      <c r="S3" s="124">
        <f aca="true" t="shared" si="5" ref="S3:S14">ROUND(Q3/6,0)</f>
        <v>1241</v>
      </c>
      <c r="T3" s="124">
        <f aca="true" t="shared" si="6" ref="T3:T14">ROUND(Q3/6,0)</f>
        <v>1241</v>
      </c>
      <c r="U3" s="124">
        <f aca="true" t="shared" si="7" ref="U3:U14">ROUND(Q3/6,0)</f>
        <v>1241</v>
      </c>
      <c r="V3" s="124">
        <f aca="true" t="shared" si="8" ref="V3:V14">ROUND(Q3/6,0)</f>
        <v>1241</v>
      </c>
      <c r="W3" s="124"/>
      <c r="X3" s="124">
        <f aca="true" t="shared" si="9" ref="X3:X14">Q3-R3-S3-T3-U3-V3</f>
        <v>1241</v>
      </c>
      <c r="Y3" s="124">
        <f aca="true" t="shared" si="10" ref="Y3:Y14">SUM(R3+S3+T3+U3+V3+X3)</f>
        <v>7446</v>
      </c>
      <c r="Z3" s="124"/>
      <c r="AA3" s="124"/>
      <c r="AB3" s="186">
        <v>1</v>
      </c>
      <c r="AC3" s="125">
        <f>I3</f>
        <v>1885</v>
      </c>
      <c r="AD3" s="125">
        <f>I3</f>
        <v>1885</v>
      </c>
      <c r="AE3" s="125">
        <f>I3</f>
        <v>1885</v>
      </c>
      <c r="AF3" s="109">
        <f>AC3+AD3+AE3</f>
        <v>5655</v>
      </c>
      <c r="AG3" s="183">
        <f>(106000/22.1)*G3</f>
        <v>4796.380090497737</v>
      </c>
      <c r="AH3" s="183">
        <f>ROUND(((106000/22.1)*G3),0)</f>
        <v>4796</v>
      </c>
      <c r="AI3" s="183">
        <f>ROUND(AH3/3,0)</f>
        <v>1599</v>
      </c>
      <c r="AJ3" s="183">
        <v>1599</v>
      </c>
      <c r="AK3" s="126">
        <v>1599</v>
      </c>
      <c r="AL3" s="126">
        <f>AI3+AJ3+AK3</f>
        <v>4797</v>
      </c>
      <c r="AM3" s="124">
        <f>(39000/20.9)*AB3</f>
        <v>1866.0287081339713</v>
      </c>
      <c r="AN3" s="126">
        <f>ROUND(AM3,0)</f>
        <v>1866</v>
      </c>
      <c r="AO3" s="329">
        <f>E3*F3</f>
        <v>1</v>
      </c>
      <c r="AP3" s="243">
        <v>1</v>
      </c>
      <c r="AQ3" s="183">
        <f>2318.18*AO3</f>
        <v>2318.18</v>
      </c>
      <c r="AR3" s="183">
        <f>2500*AP3</f>
        <v>2500</v>
      </c>
      <c r="AS3" s="183">
        <f>ROUND(2547.16*AP3,0)</f>
        <v>2547</v>
      </c>
      <c r="AT3" s="246">
        <f aca="true" t="shared" si="11" ref="AT3:AT13">ROUND(AQ3,0)</f>
        <v>2318</v>
      </c>
      <c r="AU3" s="246">
        <f aca="true" t="shared" si="12" ref="AU3:AU13">ROUND(AT3,0)</f>
        <v>2318</v>
      </c>
      <c r="AV3" s="246">
        <f aca="true" t="shared" si="13" ref="AV3:AV13">ROUND(AU3,0)</f>
        <v>2318</v>
      </c>
      <c r="AW3" s="287">
        <f>AT3+AU3+AV3</f>
        <v>6954</v>
      </c>
      <c r="AX3" s="183">
        <v>2500</v>
      </c>
      <c r="AY3" s="246">
        <v>2500</v>
      </c>
      <c r="AZ3" s="183">
        <v>2547</v>
      </c>
      <c r="BA3" s="287">
        <f>AX3+AY3+AZ3</f>
        <v>7547</v>
      </c>
      <c r="BB3" s="277"/>
      <c r="BC3" s="246"/>
      <c r="BD3" s="246"/>
      <c r="BE3" s="194"/>
      <c r="BF3" s="123"/>
      <c r="BG3" s="246"/>
      <c r="BH3" s="318"/>
      <c r="BI3" s="126"/>
      <c r="BJ3" s="328">
        <f>AT3+AU3+AV3+AX3+AY3+AZ3</f>
        <v>14501</v>
      </c>
      <c r="BK3" s="256" t="s">
        <v>33</v>
      </c>
      <c r="BL3" s="256"/>
      <c r="BM3" s="257">
        <v>3</v>
      </c>
      <c r="BN3" s="281"/>
      <c r="BO3" s="281"/>
      <c r="BP3" s="281"/>
    </row>
    <row r="4" spans="2:68" s="129" customFormat="1" ht="24" customHeight="1">
      <c r="B4" s="118">
        <v>2</v>
      </c>
      <c r="C4" s="290" t="s">
        <v>104</v>
      </c>
      <c r="D4" s="119" t="s">
        <v>29</v>
      </c>
      <c r="E4" s="120">
        <v>1</v>
      </c>
      <c r="F4" s="120">
        <v>1</v>
      </c>
      <c r="G4" s="121">
        <f aca="true" t="shared" si="14" ref="G4:G19">E4*F4</f>
        <v>1</v>
      </c>
      <c r="H4" s="121">
        <f aca="true" t="shared" si="15" ref="H4:H19">(125000/22.1)*G4</f>
        <v>5656.108597285068</v>
      </c>
      <c r="I4" s="121">
        <f aca="true" t="shared" si="16" ref="I4:I19">ROUND(((125000/3)/22.1)*G4,0)</f>
        <v>1885</v>
      </c>
      <c r="J4" s="122">
        <f aca="true" t="shared" si="17" ref="J4:J19">ROUND(33000/21,0)</f>
        <v>1571</v>
      </c>
      <c r="K4" s="123">
        <f t="shared" si="0"/>
        <v>1571</v>
      </c>
      <c r="L4" s="123">
        <f t="shared" si="1"/>
        <v>1571</v>
      </c>
      <c r="M4" s="123">
        <f t="shared" si="2"/>
        <v>1571</v>
      </c>
      <c r="N4" s="123">
        <f aca="true" t="shared" si="18" ref="N4:N19">ROUND(M4*33000/34719.1,2)</f>
        <v>1493.21</v>
      </c>
      <c r="O4" s="124">
        <f t="shared" si="3"/>
        <v>1493</v>
      </c>
      <c r="P4" s="124">
        <v>1600</v>
      </c>
      <c r="Q4" s="124">
        <v>7665</v>
      </c>
      <c r="R4" s="124">
        <f t="shared" si="4"/>
        <v>1278</v>
      </c>
      <c r="S4" s="124">
        <f t="shared" si="5"/>
        <v>1278</v>
      </c>
      <c r="T4" s="124">
        <f t="shared" si="6"/>
        <v>1278</v>
      </c>
      <c r="U4" s="124">
        <f t="shared" si="7"/>
        <v>1278</v>
      </c>
      <c r="V4" s="124">
        <f t="shared" si="8"/>
        <v>1278</v>
      </c>
      <c r="W4" s="124"/>
      <c r="X4" s="124">
        <f t="shared" si="9"/>
        <v>1275</v>
      </c>
      <c r="Y4" s="124">
        <f t="shared" si="10"/>
        <v>7665</v>
      </c>
      <c r="Z4" s="124"/>
      <c r="AA4" s="124"/>
      <c r="AB4" s="186">
        <v>1</v>
      </c>
      <c r="AC4" s="125">
        <f aca="true" t="shared" si="19" ref="AC4:AC19">I4</f>
        <v>1885</v>
      </c>
      <c r="AD4" s="125">
        <f aca="true" t="shared" si="20" ref="AD4:AD19">I4</f>
        <v>1885</v>
      </c>
      <c r="AE4" s="125">
        <f aca="true" t="shared" si="21" ref="AE4:AE19">I4</f>
        <v>1885</v>
      </c>
      <c r="AF4" s="109">
        <f aca="true" t="shared" si="22" ref="AF4:AF19">AC4+AD4+AE4</f>
        <v>5655</v>
      </c>
      <c r="AG4" s="183">
        <f aca="true" t="shared" si="23" ref="AG4:AG19">(106000/22.1)*G4</f>
        <v>4796.380090497737</v>
      </c>
      <c r="AH4" s="183">
        <f aca="true" t="shared" si="24" ref="AH4:AH19">ROUND(((106000/22.1)*G4),0)</f>
        <v>4796</v>
      </c>
      <c r="AI4" s="183">
        <f aca="true" t="shared" si="25" ref="AI4:AI19">ROUND(AH4/3,0)</f>
        <v>1599</v>
      </c>
      <c r="AJ4" s="183">
        <v>1599</v>
      </c>
      <c r="AK4" s="126">
        <v>1599</v>
      </c>
      <c r="AL4" s="126">
        <f aca="true" t="shared" si="26" ref="AL4:AL20">AI4+AJ4+AK4</f>
        <v>4797</v>
      </c>
      <c r="AM4" s="124">
        <f aca="true" t="shared" si="27" ref="AM4:AM19">(39000/20.9)*AB4</f>
        <v>1866.0287081339713</v>
      </c>
      <c r="AN4" s="126">
        <f aca="true" t="shared" si="28" ref="AN4:AN19">ROUND(AM4,0)</f>
        <v>1866</v>
      </c>
      <c r="AO4" s="329">
        <f aca="true" t="shared" si="29" ref="AO4:AO17">E4*F4</f>
        <v>1</v>
      </c>
      <c r="AP4" s="243">
        <v>1</v>
      </c>
      <c r="AQ4" s="183">
        <f aca="true" t="shared" si="30" ref="AQ4:AQ26">2318.18*AO4</f>
        <v>2318.18</v>
      </c>
      <c r="AR4" s="183">
        <f aca="true" t="shared" si="31" ref="AR4:AR26">2500*AP4</f>
        <v>2500</v>
      </c>
      <c r="AS4" s="183">
        <f aca="true" t="shared" si="32" ref="AS4:AS26">ROUND(2547.16*AP4,0)</f>
        <v>2547</v>
      </c>
      <c r="AT4" s="246">
        <f t="shared" si="11"/>
        <v>2318</v>
      </c>
      <c r="AU4" s="246">
        <f t="shared" si="12"/>
        <v>2318</v>
      </c>
      <c r="AV4" s="246">
        <f t="shared" si="13"/>
        <v>2318</v>
      </c>
      <c r="AW4" s="287">
        <f aca="true" t="shared" si="33" ref="AW4:AW26">AT4+AU4+AV4</f>
        <v>6954</v>
      </c>
      <c r="AX4" s="183">
        <v>2500</v>
      </c>
      <c r="AY4" s="246">
        <v>2500</v>
      </c>
      <c r="AZ4" s="183">
        <v>2547</v>
      </c>
      <c r="BA4" s="287">
        <f aca="true" t="shared" si="34" ref="BA4:BA26">AX4+AY4+AZ4</f>
        <v>7547</v>
      </c>
      <c r="BB4" s="277"/>
      <c r="BC4" s="246"/>
      <c r="BD4" s="246"/>
      <c r="BE4" s="194"/>
      <c r="BF4" s="123"/>
      <c r="BG4" s="246"/>
      <c r="BH4" s="318"/>
      <c r="BI4" s="126"/>
      <c r="BJ4" s="328">
        <f aca="true" t="shared" si="35" ref="BJ4:BJ26">AT4+AU4+AV4+AX4+AY4+AZ4</f>
        <v>14501</v>
      </c>
      <c r="BK4" s="127" t="s">
        <v>33</v>
      </c>
      <c r="BL4" s="127"/>
      <c r="BM4" s="128">
        <v>3</v>
      </c>
      <c r="BN4" s="281"/>
      <c r="BO4" s="281"/>
      <c r="BP4" s="281"/>
    </row>
    <row r="5" spans="2:68" s="129" customFormat="1" ht="25.5" customHeight="1">
      <c r="B5" s="118">
        <v>3</v>
      </c>
      <c r="C5" s="290" t="s">
        <v>5</v>
      </c>
      <c r="D5" s="119" t="s">
        <v>29</v>
      </c>
      <c r="E5" s="120">
        <v>1</v>
      </c>
      <c r="F5" s="120">
        <v>1</v>
      </c>
      <c r="G5" s="121">
        <f t="shared" si="14"/>
        <v>1</v>
      </c>
      <c r="H5" s="121">
        <f t="shared" si="15"/>
        <v>5656.108597285068</v>
      </c>
      <c r="I5" s="121">
        <f t="shared" si="16"/>
        <v>1885</v>
      </c>
      <c r="J5" s="122">
        <f t="shared" si="17"/>
        <v>1571</v>
      </c>
      <c r="K5" s="123">
        <f t="shared" si="0"/>
        <v>1571</v>
      </c>
      <c r="L5" s="123">
        <f t="shared" si="1"/>
        <v>1571</v>
      </c>
      <c r="M5" s="123">
        <f t="shared" si="2"/>
        <v>1571</v>
      </c>
      <c r="N5" s="123">
        <f t="shared" si="18"/>
        <v>1493.21</v>
      </c>
      <c r="O5" s="124">
        <f t="shared" si="3"/>
        <v>1493</v>
      </c>
      <c r="P5" s="124">
        <v>1200</v>
      </c>
      <c r="Q5" s="124">
        <v>7446</v>
      </c>
      <c r="R5" s="124">
        <f t="shared" si="4"/>
        <v>1241</v>
      </c>
      <c r="S5" s="124">
        <f t="shared" si="5"/>
        <v>1241</v>
      </c>
      <c r="T5" s="124">
        <f t="shared" si="6"/>
        <v>1241</v>
      </c>
      <c r="U5" s="124">
        <f t="shared" si="7"/>
        <v>1241</v>
      </c>
      <c r="V5" s="124">
        <f t="shared" si="8"/>
        <v>1241</v>
      </c>
      <c r="W5" s="124"/>
      <c r="X5" s="124">
        <f t="shared" si="9"/>
        <v>1241</v>
      </c>
      <c r="Y5" s="124">
        <f t="shared" si="10"/>
        <v>7446</v>
      </c>
      <c r="Z5" s="124"/>
      <c r="AA5" s="124"/>
      <c r="AB5" s="186">
        <v>1</v>
      </c>
      <c r="AC5" s="125">
        <f t="shared" si="19"/>
        <v>1885</v>
      </c>
      <c r="AD5" s="125">
        <f t="shared" si="20"/>
        <v>1885</v>
      </c>
      <c r="AE5" s="125">
        <f t="shared" si="21"/>
        <v>1885</v>
      </c>
      <c r="AF5" s="109">
        <f t="shared" si="22"/>
        <v>5655</v>
      </c>
      <c r="AG5" s="183">
        <f t="shared" si="23"/>
        <v>4796.380090497737</v>
      </c>
      <c r="AH5" s="183">
        <f t="shared" si="24"/>
        <v>4796</v>
      </c>
      <c r="AI5" s="183">
        <f t="shared" si="25"/>
        <v>1599</v>
      </c>
      <c r="AJ5" s="183">
        <v>1599</v>
      </c>
      <c r="AK5" s="126">
        <v>1599</v>
      </c>
      <c r="AL5" s="126">
        <f t="shared" si="26"/>
        <v>4797</v>
      </c>
      <c r="AM5" s="124">
        <f t="shared" si="27"/>
        <v>1866.0287081339713</v>
      </c>
      <c r="AN5" s="126">
        <f t="shared" si="28"/>
        <v>1866</v>
      </c>
      <c r="AO5" s="329">
        <f t="shared" si="29"/>
        <v>1</v>
      </c>
      <c r="AP5" s="243">
        <v>1</v>
      </c>
      <c r="AQ5" s="183">
        <f t="shared" si="30"/>
        <v>2318.18</v>
      </c>
      <c r="AR5" s="183">
        <f t="shared" si="31"/>
        <v>2500</v>
      </c>
      <c r="AS5" s="183">
        <f t="shared" si="32"/>
        <v>2547</v>
      </c>
      <c r="AT5" s="246">
        <f t="shared" si="11"/>
        <v>2318</v>
      </c>
      <c r="AU5" s="246">
        <f t="shared" si="12"/>
        <v>2318</v>
      </c>
      <c r="AV5" s="246">
        <f t="shared" si="13"/>
        <v>2318</v>
      </c>
      <c r="AW5" s="287">
        <f t="shared" si="33"/>
        <v>6954</v>
      </c>
      <c r="AX5" s="183">
        <v>2500</v>
      </c>
      <c r="AY5" s="246">
        <v>2500</v>
      </c>
      <c r="AZ5" s="183">
        <v>2547</v>
      </c>
      <c r="BA5" s="287">
        <f t="shared" si="34"/>
        <v>7547</v>
      </c>
      <c r="BB5" s="277"/>
      <c r="BC5" s="246"/>
      <c r="BD5" s="246"/>
      <c r="BE5" s="194"/>
      <c r="BF5" s="123"/>
      <c r="BG5" s="246"/>
      <c r="BH5" s="318"/>
      <c r="BI5" s="126"/>
      <c r="BJ5" s="328">
        <f t="shared" si="35"/>
        <v>14501</v>
      </c>
      <c r="BK5" s="127" t="s">
        <v>33</v>
      </c>
      <c r="BL5" s="127"/>
      <c r="BM5" s="128">
        <v>3</v>
      </c>
      <c r="BN5" s="281"/>
      <c r="BO5" s="281"/>
      <c r="BP5" s="281"/>
    </row>
    <row r="6" spans="2:68" s="148" customFormat="1" ht="24.75" customHeight="1">
      <c r="B6" s="137">
        <v>4</v>
      </c>
      <c r="C6" s="301" t="s">
        <v>6</v>
      </c>
      <c r="D6" s="138" t="s">
        <v>30</v>
      </c>
      <c r="E6" s="139">
        <v>0.8</v>
      </c>
      <c r="F6" s="139">
        <v>1.5</v>
      </c>
      <c r="G6" s="140">
        <f t="shared" si="14"/>
        <v>1.2000000000000002</v>
      </c>
      <c r="H6" s="140">
        <f t="shared" si="15"/>
        <v>6787.330316742083</v>
      </c>
      <c r="I6" s="140">
        <f t="shared" si="16"/>
        <v>2262</v>
      </c>
      <c r="J6" s="141">
        <f t="shared" si="17"/>
        <v>1571</v>
      </c>
      <c r="K6" s="142">
        <f t="shared" si="0"/>
        <v>1256.8</v>
      </c>
      <c r="L6" s="142">
        <f t="shared" si="1"/>
        <v>1256.8</v>
      </c>
      <c r="M6" s="143">
        <f t="shared" si="2"/>
        <v>1885.2</v>
      </c>
      <c r="N6" s="142">
        <f t="shared" si="18"/>
        <v>1791.86</v>
      </c>
      <c r="O6" s="130">
        <f t="shared" si="3"/>
        <v>1792</v>
      </c>
      <c r="P6" s="144">
        <v>1400</v>
      </c>
      <c r="Q6" s="144">
        <v>7884</v>
      </c>
      <c r="R6" s="144">
        <f t="shared" si="4"/>
        <v>1314</v>
      </c>
      <c r="S6" s="144">
        <f t="shared" si="5"/>
        <v>1314</v>
      </c>
      <c r="T6" s="144">
        <f t="shared" si="6"/>
        <v>1314</v>
      </c>
      <c r="U6" s="144">
        <f t="shared" si="7"/>
        <v>1314</v>
      </c>
      <c r="V6" s="144">
        <f t="shared" si="8"/>
        <v>1314</v>
      </c>
      <c r="W6" s="144"/>
      <c r="X6" s="144">
        <f t="shared" si="9"/>
        <v>1314</v>
      </c>
      <c r="Y6" s="144">
        <f t="shared" si="10"/>
        <v>7884</v>
      </c>
      <c r="Z6" s="144"/>
      <c r="AA6" s="144"/>
      <c r="AB6" s="186">
        <v>1.2</v>
      </c>
      <c r="AC6" s="170">
        <f t="shared" si="19"/>
        <v>2262</v>
      </c>
      <c r="AD6" s="170">
        <f t="shared" si="20"/>
        <v>2262</v>
      </c>
      <c r="AE6" s="170">
        <f t="shared" si="21"/>
        <v>2262</v>
      </c>
      <c r="AF6" s="109">
        <f t="shared" si="22"/>
        <v>6786</v>
      </c>
      <c r="AG6" s="185">
        <f t="shared" si="23"/>
        <v>5755.656108597285</v>
      </c>
      <c r="AH6" s="185">
        <f t="shared" si="24"/>
        <v>5756</v>
      </c>
      <c r="AI6" s="185">
        <f t="shared" si="25"/>
        <v>1919</v>
      </c>
      <c r="AJ6" s="185">
        <v>1919</v>
      </c>
      <c r="AK6" s="145">
        <v>1919</v>
      </c>
      <c r="AL6" s="126">
        <f t="shared" si="26"/>
        <v>5757</v>
      </c>
      <c r="AM6" s="130">
        <f t="shared" si="27"/>
        <v>2239.2344497607655</v>
      </c>
      <c r="AN6" s="145">
        <f t="shared" si="28"/>
        <v>2239</v>
      </c>
      <c r="AO6" s="329">
        <f t="shared" si="29"/>
        <v>1.2000000000000002</v>
      </c>
      <c r="AP6" s="242">
        <v>1.2</v>
      </c>
      <c r="AQ6" s="183">
        <f t="shared" si="30"/>
        <v>2781.8160000000003</v>
      </c>
      <c r="AR6" s="183">
        <f t="shared" si="31"/>
        <v>3000</v>
      </c>
      <c r="AS6" s="183">
        <f t="shared" si="32"/>
        <v>3057</v>
      </c>
      <c r="AT6" s="246">
        <f t="shared" si="11"/>
        <v>2782</v>
      </c>
      <c r="AU6" s="246">
        <f t="shared" si="12"/>
        <v>2782</v>
      </c>
      <c r="AV6" s="246">
        <f t="shared" si="13"/>
        <v>2782</v>
      </c>
      <c r="AW6" s="287">
        <f t="shared" si="33"/>
        <v>8346</v>
      </c>
      <c r="AX6" s="183">
        <v>3000</v>
      </c>
      <c r="AY6" s="246">
        <v>3000</v>
      </c>
      <c r="AZ6" s="185">
        <v>3057</v>
      </c>
      <c r="BA6" s="287">
        <f t="shared" si="34"/>
        <v>9057</v>
      </c>
      <c r="BB6" s="277"/>
      <c r="BC6" s="247"/>
      <c r="BD6" s="247"/>
      <c r="BE6" s="194"/>
      <c r="BF6" s="123"/>
      <c r="BG6" s="247"/>
      <c r="BH6" s="319"/>
      <c r="BI6" s="126"/>
      <c r="BJ6" s="328">
        <f t="shared" si="35"/>
        <v>17403</v>
      </c>
      <c r="BK6" s="146"/>
      <c r="BL6" s="146" t="s">
        <v>44</v>
      </c>
      <c r="BM6" s="147">
        <v>3</v>
      </c>
      <c r="BN6" s="282"/>
      <c r="BO6" s="282"/>
      <c r="BP6" s="282"/>
    </row>
    <row r="7" spans="2:68" s="100" customFormat="1" ht="27" customHeight="1">
      <c r="B7" s="251">
        <v>5</v>
      </c>
      <c r="C7" s="291" t="s">
        <v>9</v>
      </c>
      <c r="D7" s="252" t="s">
        <v>31</v>
      </c>
      <c r="E7" s="253">
        <v>1.2</v>
      </c>
      <c r="F7" s="254">
        <v>1</v>
      </c>
      <c r="G7" s="117">
        <f t="shared" si="14"/>
        <v>1.2</v>
      </c>
      <c r="H7" s="121">
        <f t="shared" si="15"/>
        <v>6787.330316742081</v>
      </c>
      <c r="I7" s="121">
        <f t="shared" si="16"/>
        <v>2262</v>
      </c>
      <c r="J7" s="110">
        <f t="shared" si="17"/>
        <v>1571</v>
      </c>
      <c r="K7" s="111">
        <f t="shared" si="0"/>
        <v>1885.2</v>
      </c>
      <c r="L7" s="111">
        <f t="shared" si="1"/>
        <v>1885.2</v>
      </c>
      <c r="M7" s="112">
        <f t="shared" si="2"/>
        <v>1885.2</v>
      </c>
      <c r="N7" s="111">
        <f t="shared" si="18"/>
        <v>1791.86</v>
      </c>
      <c r="O7" s="102">
        <f t="shared" si="3"/>
        <v>1792</v>
      </c>
      <c r="P7" s="105">
        <v>1500</v>
      </c>
      <c r="Q7" s="104">
        <v>9199</v>
      </c>
      <c r="R7" s="105">
        <f t="shared" si="4"/>
        <v>1533</v>
      </c>
      <c r="S7" s="105">
        <f t="shared" si="5"/>
        <v>1533</v>
      </c>
      <c r="T7" s="105">
        <f t="shared" si="6"/>
        <v>1533</v>
      </c>
      <c r="U7" s="105">
        <f t="shared" si="7"/>
        <v>1533</v>
      </c>
      <c r="V7" s="105">
        <f t="shared" si="8"/>
        <v>1533</v>
      </c>
      <c r="W7" s="105"/>
      <c r="X7" s="105">
        <f t="shared" si="9"/>
        <v>1534</v>
      </c>
      <c r="Y7" s="105">
        <f t="shared" si="10"/>
        <v>9199</v>
      </c>
      <c r="Z7" s="105"/>
      <c r="AA7" s="105"/>
      <c r="AB7" s="186">
        <v>1.2</v>
      </c>
      <c r="AC7" s="125">
        <f t="shared" si="19"/>
        <v>2262</v>
      </c>
      <c r="AD7" s="125">
        <f t="shared" si="20"/>
        <v>2262</v>
      </c>
      <c r="AE7" s="125">
        <f t="shared" si="21"/>
        <v>2262</v>
      </c>
      <c r="AF7" s="109">
        <f t="shared" si="22"/>
        <v>6786</v>
      </c>
      <c r="AG7" s="183">
        <f t="shared" si="23"/>
        <v>5755.656108597284</v>
      </c>
      <c r="AH7" s="183">
        <f t="shared" si="24"/>
        <v>5756</v>
      </c>
      <c r="AI7" s="183">
        <f t="shared" si="25"/>
        <v>1919</v>
      </c>
      <c r="AJ7" s="183">
        <v>1919</v>
      </c>
      <c r="AK7" s="126">
        <v>1919</v>
      </c>
      <c r="AL7" s="126">
        <f t="shared" si="26"/>
        <v>5757</v>
      </c>
      <c r="AM7" s="124">
        <f t="shared" si="27"/>
        <v>2239.2344497607655</v>
      </c>
      <c r="AN7" s="126">
        <f t="shared" si="28"/>
        <v>2239</v>
      </c>
      <c r="AO7" s="329">
        <f t="shared" si="29"/>
        <v>1.2</v>
      </c>
      <c r="AP7" s="329">
        <v>1.2</v>
      </c>
      <c r="AQ7" s="183">
        <f t="shared" si="30"/>
        <v>2781.816</v>
      </c>
      <c r="AR7" s="183">
        <f t="shared" si="31"/>
        <v>3000</v>
      </c>
      <c r="AS7" s="183">
        <f t="shared" si="32"/>
        <v>3057</v>
      </c>
      <c r="AT7" s="246">
        <f t="shared" si="11"/>
        <v>2782</v>
      </c>
      <c r="AU7" s="246">
        <f t="shared" si="12"/>
        <v>2782</v>
      </c>
      <c r="AV7" s="246">
        <f t="shared" si="13"/>
        <v>2782</v>
      </c>
      <c r="AW7" s="287">
        <f t="shared" si="33"/>
        <v>8346</v>
      </c>
      <c r="AX7" s="183">
        <v>3000</v>
      </c>
      <c r="AY7" s="246">
        <v>3000</v>
      </c>
      <c r="AZ7" s="337">
        <v>3057</v>
      </c>
      <c r="BA7" s="287">
        <f t="shared" si="34"/>
        <v>9057</v>
      </c>
      <c r="BB7" s="277"/>
      <c r="BC7" s="248"/>
      <c r="BD7" s="248"/>
      <c r="BE7" s="194"/>
      <c r="BF7" s="123"/>
      <c r="BG7" s="248"/>
      <c r="BH7" s="320"/>
      <c r="BI7" s="126"/>
      <c r="BJ7" s="328">
        <f t="shared" si="35"/>
        <v>17403</v>
      </c>
      <c r="BK7" s="115" t="s">
        <v>33</v>
      </c>
      <c r="BL7" s="115"/>
      <c r="BM7" s="99">
        <v>3</v>
      </c>
      <c r="BN7" s="283"/>
      <c r="BO7" s="283"/>
      <c r="BP7" s="283"/>
    </row>
    <row r="8" spans="2:68" s="129" customFormat="1" ht="29.25" customHeight="1">
      <c r="B8" s="118">
        <v>6</v>
      </c>
      <c r="C8" s="290" t="s">
        <v>10</v>
      </c>
      <c r="D8" s="119" t="s">
        <v>29</v>
      </c>
      <c r="E8" s="120">
        <v>1</v>
      </c>
      <c r="F8" s="120">
        <v>1</v>
      </c>
      <c r="G8" s="121">
        <f t="shared" si="14"/>
        <v>1</v>
      </c>
      <c r="H8" s="121">
        <f t="shared" si="15"/>
        <v>5656.108597285068</v>
      </c>
      <c r="I8" s="121">
        <f t="shared" si="16"/>
        <v>1885</v>
      </c>
      <c r="J8" s="122">
        <f t="shared" si="17"/>
        <v>1571</v>
      </c>
      <c r="K8" s="123">
        <f t="shared" si="0"/>
        <v>1571</v>
      </c>
      <c r="L8" s="123">
        <f t="shared" si="1"/>
        <v>1571</v>
      </c>
      <c r="M8" s="123">
        <f t="shared" si="2"/>
        <v>1571</v>
      </c>
      <c r="N8" s="123">
        <f t="shared" si="18"/>
        <v>1493.21</v>
      </c>
      <c r="O8" s="124">
        <f t="shared" si="3"/>
        <v>1493</v>
      </c>
      <c r="P8" s="124">
        <v>1200</v>
      </c>
      <c r="Q8" s="124">
        <v>7665</v>
      </c>
      <c r="R8" s="124">
        <f t="shared" si="4"/>
        <v>1278</v>
      </c>
      <c r="S8" s="124">
        <f t="shared" si="5"/>
        <v>1278</v>
      </c>
      <c r="T8" s="124">
        <f t="shared" si="6"/>
        <v>1278</v>
      </c>
      <c r="U8" s="124">
        <f t="shared" si="7"/>
        <v>1278</v>
      </c>
      <c r="V8" s="124">
        <f t="shared" si="8"/>
        <v>1278</v>
      </c>
      <c r="W8" s="124"/>
      <c r="X8" s="124">
        <f t="shared" si="9"/>
        <v>1275</v>
      </c>
      <c r="Y8" s="124">
        <f t="shared" si="10"/>
        <v>7665</v>
      </c>
      <c r="Z8" s="124"/>
      <c r="AA8" s="124"/>
      <c r="AB8" s="186">
        <v>1</v>
      </c>
      <c r="AC8" s="125">
        <f t="shared" si="19"/>
        <v>1885</v>
      </c>
      <c r="AD8" s="125">
        <f t="shared" si="20"/>
        <v>1885</v>
      </c>
      <c r="AE8" s="125">
        <f t="shared" si="21"/>
        <v>1885</v>
      </c>
      <c r="AF8" s="109">
        <f t="shared" si="22"/>
        <v>5655</v>
      </c>
      <c r="AG8" s="183">
        <f t="shared" si="23"/>
        <v>4796.380090497737</v>
      </c>
      <c r="AH8" s="183">
        <f t="shared" si="24"/>
        <v>4796</v>
      </c>
      <c r="AI8" s="183">
        <f t="shared" si="25"/>
        <v>1599</v>
      </c>
      <c r="AJ8" s="183">
        <v>1599</v>
      </c>
      <c r="AK8" s="126">
        <v>1599</v>
      </c>
      <c r="AL8" s="126">
        <f t="shared" si="26"/>
        <v>4797</v>
      </c>
      <c r="AM8" s="124">
        <f t="shared" si="27"/>
        <v>1866.0287081339713</v>
      </c>
      <c r="AN8" s="126">
        <f t="shared" si="28"/>
        <v>1866</v>
      </c>
      <c r="AO8" s="329">
        <f t="shared" si="29"/>
        <v>1</v>
      </c>
      <c r="AP8" s="243">
        <v>1</v>
      </c>
      <c r="AQ8" s="183">
        <f t="shared" si="30"/>
        <v>2318.18</v>
      </c>
      <c r="AR8" s="183">
        <f t="shared" si="31"/>
        <v>2500</v>
      </c>
      <c r="AS8" s="183">
        <f t="shared" si="32"/>
        <v>2547</v>
      </c>
      <c r="AT8" s="246">
        <f t="shared" si="11"/>
        <v>2318</v>
      </c>
      <c r="AU8" s="246">
        <f t="shared" si="12"/>
        <v>2318</v>
      </c>
      <c r="AV8" s="246">
        <f t="shared" si="13"/>
        <v>2318</v>
      </c>
      <c r="AW8" s="287">
        <f t="shared" si="33"/>
        <v>6954</v>
      </c>
      <c r="AX8" s="183">
        <v>2500</v>
      </c>
      <c r="AY8" s="246">
        <v>2500</v>
      </c>
      <c r="AZ8" s="183">
        <v>2547</v>
      </c>
      <c r="BA8" s="287">
        <f t="shared" si="34"/>
        <v>7547</v>
      </c>
      <c r="BB8" s="277"/>
      <c r="BC8" s="246"/>
      <c r="BD8" s="246"/>
      <c r="BE8" s="194"/>
      <c r="BF8" s="123"/>
      <c r="BG8" s="246"/>
      <c r="BH8" s="318"/>
      <c r="BI8" s="126"/>
      <c r="BJ8" s="328">
        <f t="shared" si="35"/>
        <v>14501</v>
      </c>
      <c r="BK8" s="127" t="s">
        <v>33</v>
      </c>
      <c r="BL8" s="127"/>
      <c r="BM8" s="128">
        <v>3</v>
      </c>
      <c r="BN8" s="281"/>
      <c r="BO8" s="281"/>
      <c r="BP8" s="281"/>
    </row>
    <row r="9" spans="2:68" s="169" customFormat="1" ht="27" customHeight="1">
      <c r="B9" s="149">
        <v>7</v>
      </c>
      <c r="C9" s="292" t="s">
        <v>11</v>
      </c>
      <c r="D9" s="164" t="s">
        <v>30</v>
      </c>
      <c r="E9" s="152">
        <v>0.8</v>
      </c>
      <c r="F9" s="152">
        <v>1</v>
      </c>
      <c r="G9" s="153">
        <f t="shared" si="14"/>
        <v>0.8</v>
      </c>
      <c r="H9" s="153">
        <f t="shared" si="15"/>
        <v>4524.886877828055</v>
      </c>
      <c r="I9" s="153">
        <f t="shared" si="16"/>
        <v>1508</v>
      </c>
      <c r="J9" s="154">
        <f t="shared" si="17"/>
        <v>1571</v>
      </c>
      <c r="K9" s="155">
        <f t="shared" si="0"/>
        <v>1256.8</v>
      </c>
      <c r="L9" s="155">
        <f t="shared" si="1"/>
        <v>1256.8</v>
      </c>
      <c r="M9" s="166">
        <f t="shared" si="2"/>
        <v>1256.8</v>
      </c>
      <c r="N9" s="155">
        <f t="shared" si="18"/>
        <v>1194.57</v>
      </c>
      <c r="O9" s="156">
        <f t="shared" si="3"/>
        <v>1195</v>
      </c>
      <c r="P9" s="167">
        <v>1000</v>
      </c>
      <c r="Q9" s="167">
        <v>5957</v>
      </c>
      <c r="R9" s="167">
        <f t="shared" si="4"/>
        <v>993</v>
      </c>
      <c r="S9" s="167">
        <f t="shared" si="5"/>
        <v>993</v>
      </c>
      <c r="T9" s="167">
        <f t="shared" si="6"/>
        <v>993</v>
      </c>
      <c r="U9" s="167">
        <f t="shared" si="7"/>
        <v>993</v>
      </c>
      <c r="V9" s="167">
        <f t="shared" si="8"/>
        <v>993</v>
      </c>
      <c r="W9" s="167"/>
      <c r="X9" s="167">
        <f t="shared" si="9"/>
        <v>992</v>
      </c>
      <c r="Y9" s="167">
        <f t="shared" si="10"/>
        <v>5957</v>
      </c>
      <c r="Z9" s="167"/>
      <c r="AA9" s="167"/>
      <c r="AB9" s="186">
        <v>0.8</v>
      </c>
      <c r="AC9" s="159">
        <f t="shared" si="19"/>
        <v>1508</v>
      </c>
      <c r="AD9" s="159">
        <f t="shared" si="20"/>
        <v>1508</v>
      </c>
      <c r="AE9" s="159">
        <f t="shared" si="21"/>
        <v>1508</v>
      </c>
      <c r="AF9" s="109">
        <f t="shared" si="22"/>
        <v>4524</v>
      </c>
      <c r="AG9" s="184">
        <f t="shared" si="23"/>
        <v>3837.1040723981896</v>
      </c>
      <c r="AH9" s="184">
        <f t="shared" si="24"/>
        <v>3837</v>
      </c>
      <c r="AI9" s="184">
        <f t="shared" si="25"/>
        <v>1279</v>
      </c>
      <c r="AJ9" s="184">
        <v>1279</v>
      </c>
      <c r="AK9" s="160">
        <v>1279</v>
      </c>
      <c r="AL9" s="126">
        <f t="shared" si="26"/>
        <v>3837</v>
      </c>
      <c r="AM9" s="156">
        <f t="shared" si="27"/>
        <v>1492.8229665071772</v>
      </c>
      <c r="AN9" s="160">
        <f t="shared" si="28"/>
        <v>1493</v>
      </c>
      <c r="AO9" s="329">
        <f t="shared" si="29"/>
        <v>0.8</v>
      </c>
      <c r="AP9" s="244">
        <v>0.8</v>
      </c>
      <c r="AQ9" s="183">
        <f t="shared" si="30"/>
        <v>1854.5439999999999</v>
      </c>
      <c r="AR9" s="183">
        <f t="shared" si="31"/>
        <v>2000</v>
      </c>
      <c r="AS9" s="183">
        <f t="shared" si="32"/>
        <v>2038</v>
      </c>
      <c r="AT9" s="246">
        <f t="shared" si="11"/>
        <v>1855</v>
      </c>
      <c r="AU9" s="246">
        <f t="shared" si="12"/>
        <v>1855</v>
      </c>
      <c r="AV9" s="246">
        <f t="shared" si="13"/>
        <v>1855</v>
      </c>
      <c r="AW9" s="287">
        <f t="shared" si="33"/>
        <v>5565</v>
      </c>
      <c r="AX9" s="183">
        <v>2000</v>
      </c>
      <c r="AY9" s="246">
        <v>2000</v>
      </c>
      <c r="AZ9" s="184">
        <v>2038</v>
      </c>
      <c r="BA9" s="287">
        <f t="shared" si="34"/>
        <v>6038</v>
      </c>
      <c r="BB9" s="277"/>
      <c r="BC9" s="249"/>
      <c r="BD9" s="249"/>
      <c r="BE9" s="194"/>
      <c r="BF9" s="123"/>
      <c r="BG9" s="249"/>
      <c r="BH9" s="321"/>
      <c r="BI9" s="126"/>
      <c r="BJ9" s="328">
        <f t="shared" si="35"/>
        <v>11603</v>
      </c>
      <c r="BK9" s="168" t="s">
        <v>33</v>
      </c>
      <c r="BL9" s="161"/>
      <c r="BM9" s="162">
        <v>3</v>
      </c>
      <c r="BN9" s="284"/>
      <c r="BO9" s="284"/>
      <c r="BP9" s="284"/>
    </row>
    <row r="10" spans="2:68" s="129" customFormat="1" ht="25.5" customHeight="1">
      <c r="B10" s="118">
        <v>8</v>
      </c>
      <c r="C10" s="290" t="s">
        <v>13</v>
      </c>
      <c r="D10" s="119" t="s">
        <v>29</v>
      </c>
      <c r="E10" s="120">
        <v>1</v>
      </c>
      <c r="F10" s="120">
        <v>1</v>
      </c>
      <c r="G10" s="121">
        <f t="shared" si="14"/>
        <v>1</v>
      </c>
      <c r="H10" s="121">
        <f t="shared" si="15"/>
        <v>5656.108597285068</v>
      </c>
      <c r="I10" s="121">
        <f t="shared" si="16"/>
        <v>1885</v>
      </c>
      <c r="J10" s="122">
        <f t="shared" si="17"/>
        <v>1571</v>
      </c>
      <c r="K10" s="123">
        <f t="shared" si="0"/>
        <v>1571</v>
      </c>
      <c r="L10" s="123">
        <f t="shared" si="1"/>
        <v>1571</v>
      </c>
      <c r="M10" s="123">
        <f t="shared" si="2"/>
        <v>1571</v>
      </c>
      <c r="N10" s="123">
        <f t="shared" si="18"/>
        <v>1493.21</v>
      </c>
      <c r="O10" s="124">
        <f t="shared" si="3"/>
        <v>1493</v>
      </c>
      <c r="P10" s="124">
        <v>1200</v>
      </c>
      <c r="Q10" s="124">
        <v>7446</v>
      </c>
      <c r="R10" s="124">
        <f t="shared" si="4"/>
        <v>1241</v>
      </c>
      <c r="S10" s="124">
        <f t="shared" si="5"/>
        <v>1241</v>
      </c>
      <c r="T10" s="124">
        <f t="shared" si="6"/>
        <v>1241</v>
      </c>
      <c r="U10" s="124">
        <f t="shared" si="7"/>
        <v>1241</v>
      </c>
      <c r="V10" s="124">
        <f t="shared" si="8"/>
        <v>1241</v>
      </c>
      <c r="W10" s="124"/>
      <c r="X10" s="124">
        <f t="shared" si="9"/>
        <v>1241</v>
      </c>
      <c r="Y10" s="124">
        <f t="shared" si="10"/>
        <v>7446</v>
      </c>
      <c r="Z10" s="124"/>
      <c r="AA10" s="124"/>
      <c r="AB10" s="186">
        <v>1</v>
      </c>
      <c r="AC10" s="125">
        <f t="shared" si="19"/>
        <v>1885</v>
      </c>
      <c r="AD10" s="125">
        <f t="shared" si="20"/>
        <v>1885</v>
      </c>
      <c r="AE10" s="125">
        <f t="shared" si="21"/>
        <v>1885</v>
      </c>
      <c r="AF10" s="109">
        <f t="shared" si="22"/>
        <v>5655</v>
      </c>
      <c r="AG10" s="183">
        <f t="shared" si="23"/>
        <v>4796.380090497737</v>
      </c>
      <c r="AH10" s="183">
        <f t="shared" si="24"/>
        <v>4796</v>
      </c>
      <c r="AI10" s="183">
        <f t="shared" si="25"/>
        <v>1599</v>
      </c>
      <c r="AJ10" s="183">
        <v>1599</v>
      </c>
      <c r="AK10" s="126">
        <v>1599</v>
      </c>
      <c r="AL10" s="126">
        <f t="shared" si="26"/>
        <v>4797</v>
      </c>
      <c r="AM10" s="124">
        <f t="shared" si="27"/>
        <v>1866.0287081339713</v>
      </c>
      <c r="AN10" s="126">
        <f t="shared" si="28"/>
        <v>1866</v>
      </c>
      <c r="AO10" s="329">
        <f t="shared" si="29"/>
        <v>1</v>
      </c>
      <c r="AP10" s="243">
        <v>1</v>
      </c>
      <c r="AQ10" s="183">
        <f t="shared" si="30"/>
        <v>2318.18</v>
      </c>
      <c r="AR10" s="183">
        <f t="shared" si="31"/>
        <v>2500</v>
      </c>
      <c r="AS10" s="183">
        <f t="shared" si="32"/>
        <v>2547</v>
      </c>
      <c r="AT10" s="246">
        <f t="shared" si="11"/>
        <v>2318</v>
      </c>
      <c r="AU10" s="246">
        <f t="shared" si="12"/>
        <v>2318</v>
      </c>
      <c r="AV10" s="246">
        <f t="shared" si="13"/>
        <v>2318</v>
      </c>
      <c r="AW10" s="287">
        <f t="shared" si="33"/>
        <v>6954</v>
      </c>
      <c r="AX10" s="183">
        <v>2500</v>
      </c>
      <c r="AY10" s="246">
        <v>2500</v>
      </c>
      <c r="AZ10" s="183">
        <v>2547</v>
      </c>
      <c r="BA10" s="287">
        <f t="shared" si="34"/>
        <v>7547</v>
      </c>
      <c r="BB10" s="277"/>
      <c r="BC10" s="246"/>
      <c r="BD10" s="246"/>
      <c r="BE10" s="194"/>
      <c r="BF10" s="123"/>
      <c r="BG10" s="246"/>
      <c r="BH10" s="318"/>
      <c r="BI10" s="126"/>
      <c r="BJ10" s="328">
        <f t="shared" si="35"/>
        <v>14501</v>
      </c>
      <c r="BK10" s="127" t="s">
        <v>33</v>
      </c>
      <c r="BL10" s="127"/>
      <c r="BM10" s="128">
        <v>3</v>
      </c>
      <c r="BN10" s="281"/>
      <c r="BO10" s="281"/>
      <c r="BP10" s="281"/>
    </row>
    <row r="11" spans="2:68" s="148" customFormat="1" ht="23.25" customHeight="1">
      <c r="B11" s="137">
        <v>9</v>
      </c>
      <c r="C11" s="301" t="s">
        <v>24</v>
      </c>
      <c r="D11" s="138" t="s">
        <v>30</v>
      </c>
      <c r="E11" s="139">
        <v>0.8</v>
      </c>
      <c r="F11" s="139">
        <v>1.5</v>
      </c>
      <c r="G11" s="140">
        <f t="shared" si="14"/>
        <v>1.2000000000000002</v>
      </c>
      <c r="H11" s="140">
        <f t="shared" si="15"/>
        <v>6787.330316742083</v>
      </c>
      <c r="I11" s="140">
        <f t="shared" si="16"/>
        <v>2262</v>
      </c>
      <c r="J11" s="141">
        <f t="shared" si="17"/>
        <v>1571</v>
      </c>
      <c r="K11" s="142">
        <f t="shared" si="0"/>
        <v>1256.8</v>
      </c>
      <c r="L11" s="142">
        <f t="shared" si="1"/>
        <v>1256.8</v>
      </c>
      <c r="M11" s="143">
        <f t="shared" si="2"/>
        <v>1885.2</v>
      </c>
      <c r="N11" s="142">
        <f t="shared" si="18"/>
        <v>1791.86</v>
      </c>
      <c r="O11" s="130">
        <f t="shared" si="3"/>
        <v>1792</v>
      </c>
      <c r="P11" s="144">
        <v>1400</v>
      </c>
      <c r="Q11" s="144">
        <v>8936</v>
      </c>
      <c r="R11" s="144">
        <f>ROUND(Q11/6,0)</f>
        <v>1489</v>
      </c>
      <c r="S11" s="144">
        <f>ROUND(Q11/6,0)</f>
        <v>1489</v>
      </c>
      <c r="T11" s="144">
        <f>ROUND(Q11/6,0)</f>
        <v>1489</v>
      </c>
      <c r="U11" s="144">
        <f>ROUND(Q11/6,0)</f>
        <v>1489</v>
      </c>
      <c r="V11" s="144">
        <f>ROUND(Q11/6,0)</f>
        <v>1489</v>
      </c>
      <c r="W11" s="144"/>
      <c r="X11" s="144">
        <f>Q11-R11-S11-T11-U11-V11</f>
        <v>1491</v>
      </c>
      <c r="Y11" s="144">
        <f>SUM(R11+S11+T11+U11+V11+X11)</f>
        <v>8936</v>
      </c>
      <c r="Z11" s="144"/>
      <c r="AA11" s="144"/>
      <c r="AB11" s="186">
        <v>1.2</v>
      </c>
      <c r="AC11" s="170">
        <f t="shared" si="19"/>
        <v>2262</v>
      </c>
      <c r="AD11" s="170">
        <f t="shared" si="20"/>
        <v>2262</v>
      </c>
      <c r="AE11" s="170">
        <f t="shared" si="21"/>
        <v>2262</v>
      </c>
      <c r="AF11" s="109">
        <f t="shared" si="22"/>
        <v>6786</v>
      </c>
      <c r="AG11" s="185">
        <f t="shared" si="23"/>
        <v>5755.656108597285</v>
      </c>
      <c r="AH11" s="185">
        <f t="shared" si="24"/>
        <v>5756</v>
      </c>
      <c r="AI11" s="185">
        <f t="shared" si="25"/>
        <v>1919</v>
      </c>
      <c r="AJ11" s="185">
        <v>1919</v>
      </c>
      <c r="AK11" s="145">
        <v>1919</v>
      </c>
      <c r="AL11" s="126">
        <f t="shared" si="26"/>
        <v>5757</v>
      </c>
      <c r="AM11" s="130">
        <f t="shared" si="27"/>
        <v>2239.2344497607655</v>
      </c>
      <c r="AN11" s="145">
        <f t="shared" si="28"/>
        <v>2239</v>
      </c>
      <c r="AO11" s="329">
        <f t="shared" si="29"/>
        <v>1.2000000000000002</v>
      </c>
      <c r="AP11" s="242">
        <v>1.2</v>
      </c>
      <c r="AQ11" s="183">
        <f t="shared" si="30"/>
        <v>2781.8160000000003</v>
      </c>
      <c r="AR11" s="183">
        <f t="shared" si="31"/>
        <v>3000</v>
      </c>
      <c r="AS11" s="183">
        <f t="shared" si="32"/>
        <v>3057</v>
      </c>
      <c r="AT11" s="246">
        <f t="shared" si="11"/>
        <v>2782</v>
      </c>
      <c r="AU11" s="246">
        <f t="shared" si="12"/>
        <v>2782</v>
      </c>
      <c r="AV11" s="246">
        <f t="shared" si="13"/>
        <v>2782</v>
      </c>
      <c r="AW11" s="287">
        <f t="shared" si="33"/>
        <v>8346</v>
      </c>
      <c r="AX11" s="183">
        <v>3000</v>
      </c>
      <c r="AY11" s="246">
        <v>3000</v>
      </c>
      <c r="AZ11" s="185">
        <v>3057</v>
      </c>
      <c r="BA11" s="287">
        <f t="shared" si="34"/>
        <v>9057</v>
      </c>
      <c r="BB11" s="277"/>
      <c r="BC11" s="247"/>
      <c r="BD11" s="247"/>
      <c r="BE11" s="194"/>
      <c r="BF11" s="123"/>
      <c r="BG11" s="247"/>
      <c r="BH11" s="319"/>
      <c r="BI11" s="126"/>
      <c r="BJ11" s="328">
        <f t="shared" si="35"/>
        <v>17403</v>
      </c>
      <c r="BK11" s="146"/>
      <c r="BL11" s="146" t="s">
        <v>42</v>
      </c>
      <c r="BM11" s="147">
        <v>3</v>
      </c>
      <c r="BN11" s="282"/>
      <c r="BO11" s="282"/>
      <c r="BP11" s="282"/>
    </row>
    <row r="12" spans="2:68" s="148" customFormat="1" ht="28.5" customHeight="1">
      <c r="B12" s="137">
        <v>10</v>
      </c>
      <c r="C12" s="301" t="s">
        <v>14</v>
      </c>
      <c r="D12" s="138" t="s">
        <v>30</v>
      </c>
      <c r="E12" s="139">
        <v>0.8</v>
      </c>
      <c r="F12" s="139">
        <v>1.5</v>
      </c>
      <c r="G12" s="140">
        <f t="shared" si="14"/>
        <v>1.2000000000000002</v>
      </c>
      <c r="H12" s="140">
        <f t="shared" si="15"/>
        <v>6787.330316742083</v>
      </c>
      <c r="I12" s="140">
        <f t="shared" si="16"/>
        <v>2262</v>
      </c>
      <c r="J12" s="141">
        <f t="shared" si="17"/>
        <v>1571</v>
      </c>
      <c r="K12" s="142">
        <f t="shared" si="0"/>
        <v>1256.8</v>
      </c>
      <c r="L12" s="142">
        <f t="shared" si="1"/>
        <v>1256.8</v>
      </c>
      <c r="M12" s="143">
        <f t="shared" si="2"/>
        <v>1885.2</v>
      </c>
      <c r="N12" s="142">
        <f t="shared" si="18"/>
        <v>1791.86</v>
      </c>
      <c r="O12" s="130">
        <f t="shared" si="3"/>
        <v>1792</v>
      </c>
      <c r="P12" s="144">
        <v>1250</v>
      </c>
      <c r="Q12" s="144">
        <v>7884</v>
      </c>
      <c r="R12" s="144">
        <f t="shared" si="4"/>
        <v>1314</v>
      </c>
      <c r="S12" s="144">
        <f t="shared" si="5"/>
        <v>1314</v>
      </c>
      <c r="T12" s="144">
        <f t="shared" si="6"/>
        <v>1314</v>
      </c>
      <c r="U12" s="144">
        <f t="shared" si="7"/>
        <v>1314</v>
      </c>
      <c r="V12" s="144">
        <f t="shared" si="8"/>
        <v>1314</v>
      </c>
      <c r="W12" s="144"/>
      <c r="X12" s="144">
        <f t="shared" si="9"/>
        <v>1314</v>
      </c>
      <c r="Y12" s="144">
        <f t="shared" si="10"/>
        <v>7884</v>
      </c>
      <c r="Z12" s="144"/>
      <c r="AA12" s="144"/>
      <c r="AB12" s="186">
        <v>1.2</v>
      </c>
      <c r="AC12" s="170">
        <f t="shared" si="19"/>
        <v>2262</v>
      </c>
      <c r="AD12" s="170">
        <f t="shared" si="20"/>
        <v>2262</v>
      </c>
      <c r="AE12" s="170">
        <f t="shared" si="21"/>
        <v>2262</v>
      </c>
      <c r="AF12" s="109">
        <f t="shared" si="22"/>
        <v>6786</v>
      </c>
      <c r="AG12" s="185">
        <f t="shared" si="23"/>
        <v>5755.656108597285</v>
      </c>
      <c r="AH12" s="185">
        <f t="shared" si="24"/>
        <v>5756</v>
      </c>
      <c r="AI12" s="185">
        <f t="shared" si="25"/>
        <v>1919</v>
      </c>
      <c r="AJ12" s="185">
        <v>1919</v>
      </c>
      <c r="AK12" s="145">
        <v>1919</v>
      </c>
      <c r="AL12" s="126">
        <f t="shared" si="26"/>
        <v>5757</v>
      </c>
      <c r="AM12" s="130">
        <f t="shared" si="27"/>
        <v>2239.2344497607655</v>
      </c>
      <c r="AN12" s="145">
        <f t="shared" si="28"/>
        <v>2239</v>
      </c>
      <c r="AO12" s="329">
        <f t="shared" si="29"/>
        <v>1.2000000000000002</v>
      </c>
      <c r="AP12" s="242">
        <v>1.2</v>
      </c>
      <c r="AQ12" s="183">
        <f t="shared" si="30"/>
        <v>2781.8160000000003</v>
      </c>
      <c r="AR12" s="183">
        <f t="shared" si="31"/>
        <v>3000</v>
      </c>
      <c r="AS12" s="183">
        <f t="shared" si="32"/>
        <v>3057</v>
      </c>
      <c r="AT12" s="246">
        <f t="shared" si="11"/>
        <v>2782</v>
      </c>
      <c r="AU12" s="246">
        <f t="shared" si="12"/>
        <v>2782</v>
      </c>
      <c r="AV12" s="246">
        <f t="shared" si="13"/>
        <v>2782</v>
      </c>
      <c r="AW12" s="287">
        <f t="shared" si="33"/>
        <v>8346</v>
      </c>
      <c r="AX12" s="183">
        <v>3000</v>
      </c>
      <c r="AY12" s="246">
        <v>3000</v>
      </c>
      <c r="AZ12" s="185">
        <v>3057</v>
      </c>
      <c r="BA12" s="287">
        <f t="shared" si="34"/>
        <v>9057</v>
      </c>
      <c r="BB12" s="277"/>
      <c r="BC12" s="247"/>
      <c r="BD12" s="247"/>
      <c r="BE12" s="194"/>
      <c r="BF12" s="123"/>
      <c r="BG12" s="247"/>
      <c r="BH12" s="319"/>
      <c r="BI12" s="126"/>
      <c r="BJ12" s="328">
        <f t="shared" si="35"/>
        <v>17403</v>
      </c>
      <c r="BK12" s="146"/>
      <c r="BL12" s="146" t="s">
        <v>43</v>
      </c>
      <c r="BM12" s="147">
        <v>3</v>
      </c>
      <c r="BN12" s="282"/>
      <c r="BO12" s="282"/>
      <c r="BP12" s="282"/>
    </row>
    <row r="13" spans="2:68" s="100" customFormat="1" ht="24.75" customHeight="1">
      <c r="B13" s="251">
        <v>11</v>
      </c>
      <c r="C13" s="291" t="s">
        <v>103</v>
      </c>
      <c r="D13" s="252" t="s">
        <v>31</v>
      </c>
      <c r="E13" s="253">
        <v>1.2</v>
      </c>
      <c r="F13" s="254">
        <v>1</v>
      </c>
      <c r="G13" s="117">
        <f t="shared" si="14"/>
        <v>1.2</v>
      </c>
      <c r="H13" s="121">
        <f t="shared" si="15"/>
        <v>6787.330316742081</v>
      </c>
      <c r="I13" s="121">
        <f t="shared" si="16"/>
        <v>2262</v>
      </c>
      <c r="J13" s="110">
        <f t="shared" si="17"/>
        <v>1571</v>
      </c>
      <c r="K13" s="111">
        <f t="shared" si="0"/>
        <v>1885.2</v>
      </c>
      <c r="L13" s="111">
        <f t="shared" si="1"/>
        <v>1885.2</v>
      </c>
      <c r="M13" s="112">
        <f t="shared" si="2"/>
        <v>1885.2</v>
      </c>
      <c r="N13" s="111">
        <f t="shared" si="18"/>
        <v>1791.86</v>
      </c>
      <c r="O13" s="102">
        <f t="shared" si="3"/>
        <v>1792</v>
      </c>
      <c r="P13" s="105">
        <v>1400</v>
      </c>
      <c r="Q13" s="104">
        <v>8936</v>
      </c>
      <c r="R13" s="105">
        <f t="shared" si="4"/>
        <v>1489</v>
      </c>
      <c r="S13" s="105">
        <f t="shared" si="5"/>
        <v>1489</v>
      </c>
      <c r="T13" s="105">
        <f t="shared" si="6"/>
        <v>1489</v>
      </c>
      <c r="U13" s="105">
        <f t="shared" si="7"/>
        <v>1489</v>
      </c>
      <c r="V13" s="105">
        <f t="shared" si="8"/>
        <v>1489</v>
      </c>
      <c r="W13" s="105"/>
      <c r="X13" s="105">
        <f t="shared" si="9"/>
        <v>1491</v>
      </c>
      <c r="Y13" s="105">
        <f t="shared" si="10"/>
        <v>8936</v>
      </c>
      <c r="Z13" s="105"/>
      <c r="AA13" s="105"/>
      <c r="AB13" s="186">
        <v>1.2</v>
      </c>
      <c r="AC13" s="125">
        <f t="shared" si="19"/>
        <v>2262</v>
      </c>
      <c r="AD13" s="125">
        <f t="shared" si="20"/>
        <v>2262</v>
      </c>
      <c r="AE13" s="125">
        <f t="shared" si="21"/>
        <v>2262</v>
      </c>
      <c r="AF13" s="109">
        <f t="shared" si="22"/>
        <v>6786</v>
      </c>
      <c r="AG13" s="183">
        <f t="shared" si="23"/>
        <v>5755.656108597284</v>
      </c>
      <c r="AH13" s="183">
        <f t="shared" si="24"/>
        <v>5756</v>
      </c>
      <c r="AI13" s="183">
        <f t="shared" si="25"/>
        <v>1919</v>
      </c>
      <c r="AJ13" s="183">
        <v>1919</v>
      </c>
      <c r="AK13" s="103">
        <v>1919</v>
      </c>
      <c r="AL13" s="126">
        <f t="shared" si="26"/>
        <v>5757</v>
      </c>
      <c r="AM13" s="124">
        <f t="shared" si="27"/>
        <v>2239.2344497607655</v>
      </c>
      <c r="AN13" s="126">
        <f t="shared" si="28"/>
        <v>2239</v>
      </c>
      <c r="AO13" s="329">
        <f t="shared" si="29"/>
        <v>1.2</v>
      </c>
      <c r="AP13" s="329">
        <v>1.2</v>
      </c>
      <c r="AQ13" s="183">
        <f t="shared" si="30"/>
        <v>2781.816</v>
      </c>
      <c r="AR13" s="183">
        <f t="shared" si="31"/>
        <v>3000</v>
      </c>
      <c r="AS13" s="183">
        <f t="shared" si="32"/>
        <v>3057</v>
      </c>
      <c r="AT13" s="246">
        <f t="shared" si="11"/>
        <v>2782</v>
      </c>
      <c r="AU13" s="246">
        <f t="shared" si="12"/>
        <v>2782</v>
      </c>
      <c r="AV13" s="246">
        <f t="shared" si="13"/>
        <v>2782</v>
      </c>
      <c r="AW13" s="287">
        <f t="shared" si="33"/>
        <v>8346</v>
      </c>
      <c r="AX13" s="183">
        <v>3000</v>
      </c>
      <c r="AY13" s="246">
        <v>3000</v>
      </c>
      <c r="AZ13" s="337">
        <v>3057</v>
      </c>
      <c r="BA13" s="287">
        <f t="shared" si="34"/>
        <v>9057</v>
      </c>
      <c r="BB13" s="277"/>
      <c r="BC13" s="248"/>
      <c r="BD13" s="248"/>
      <c r="BE13" s="194"/>
      <c r="BF13" s="123"/>
      <c r="BG13" s="248"/>
      <c r="BH13" s="320"/>
      <c r="BI13" s="126"/>
      <c r="BJ13" s="328">
        <f t="shared" si="35"/>
        <v>17403</v>
      </c>
      <c r="BK13" s="115" t="s">
        <v>33</v>
      </c>
      <c r="BL13" s="115"/>
      <c r="BM13" s="99">
        <v>3</v>
      </c>
      <c r="BN13" s="283"/>
      <c r="BO13" s="283"/>
      <c r="BP13" s="283"/>
    </row>
    <row r="14" spans="2:68" s="205" customFormat="1" ht="26.25" customHeight="1">
      <c r="B14" s="251">
        <v>12</v>
      </c>
      <c r="C14" s="330" t="s">
        <v>15</v>
      </c>
      <c r="D14" s="252" t="s">
        <v>31</v>
      </c>
      <c r="E14" s="254">
        <v>1.2</v>
      </c>
      <c r="F14" s="254">
        <v>1</v>
      </c>
      <c r="G14" s="195">
        <f t="shared" si="14"/>
        <v>1.2</v>
      </c>
      <c r="H14" s="195">
        <f t="shared" si="15"/>
        <v>6787.330316742081</v>
      </c>
      <c r="I14" s="195">
        <f t="shared" si="16"/>
        <v>2262</v>
      </c>
      <c r="J14" s="196">
        <f t="shared" si="17"/>
        <v>1571</v>
      </c>
      <c r="K14" s="197">
        <f t="shared" si="0"/>
        <v>1885.2</v>
      </c>
      <c r="L14" s="197">
        <f t="shared" si="1"/>
        <v>1885.2</v>
      </c>
      <c r="M14" s="198">
        <f t="shared" si="2"/>
        <v>1885.2</v>
      </c>
      <c r="N14" s="197">
        <f t="shared" si="18"/>
        <v>1791.86</v>
      </c>
      <c r="O14" s="199">
        <f>ROUND(N14,0)-2</f>
        <v>1790</v>
      </c>
      <c r="P14" s="199">
        <v>1800</v>
      </c>
      <c r="Q14" s="199">
        <v>11498</v>
      </c>
      <c r="R14" s="199">
        <f t="shared" si="4"/>
        <v>1916</v>
      </c>
      <c r="S14" s="199">
        <f t="shared" si="5"/>
        <v>1916</v>
      </c>
      <c r="T14" s="199">
        <f t="shared" si="6"/>
        <v>1916</v>
      </c>
      <c r="U14" s="199">
        <f t="shared" si="7"/>
        <v>1916</v>
      </c>
      <c r="V14" s="199">
        <f t="shared" si="8"/>
        <v>1916</v>
      </c>
      <c r="W14" s="199"/>
      <c r="X14" s="199">
        <f t="shared" si="9"/>
        <v>1918</v>
      </c>
      <c r="Y14" s="199">
        <f t="shared" si="10"/>
        <v>11498</v>
      </c>
      <c r="Z14" s="199"/>
      <c r="AA14" s="199"/>
      <c r="AB14" s="195">
        <v>1.5</v>
      </c>
      <c r="AC14" s="200">
        <f>I14+7</f>
        <v>2269</v>
      </c>
      <c r="AD14" s="200">
        <f>I14+8</f>
        <v>2270</v>
      </c>
      <c r="AE14" s="200">
        <f>I14+8</f>
        <v>2270</v>
      </c>
      <c r="AF14" s="109">
        <f t="shared" si="22"/>
        <v>6809</v>
      </c>
      <c r="AG14" s="201">
        <f t="shared" si="23"/>
        <v>5755.656108597284</v>
      </c>
      <c r="AH14" s="201">
        <f t="shared" si="24"/>
        <v>5756</v>
      </c>
      <c r="AI14" s="201">
        <f t="shared" si="25"/>
        <v>1919</v>
      </c>
      <c r="AJ14" s="201">
        <v>2398</v>
      </c>
      <c r="AK14" s="202">
        <v>2398</v>
      </c>
      <c r="AL14" s="126">
        <f t="shared" si="26"/>
        <v>6715</v>
      </c>
      <c r="AM14" s="199">
        <f t="shared" si="27"/>
        <v>2799.043062200957</v>
      </c>
      <c r="AN14" s="202">
        <f>ROUND(AM14,0)+1</f>
        <v>2800</v>
      </c>
      <c r="AO14" s="329">
        <f t="shared" si="29"/>
        <v>1.2</v>
      </c>
      <c r="AP14" s="329">
        <v>1.2</v>
      </c>
      <c r="AQ14" s="183">
        <f t="shared" si="30"/>
        <v>2781.816</v>
      </c>
      <c r="AR14" s="183">
        <f t="shared" si="31"/>
        <v>3000</v>
      </c>
      <c r="AS14" s="183">
        <f>ROUND(2547.16*AP14,0)-4</f>
        <v>3053</v>
      </c>
      <c r="AT14" s="246">
        <f>ROUND(AQ14,0)-5</f>
        <v>2777</v>
      </c>
      <c r="AU14" s="246">
        <f aca="true" t="shared" si="36" ref="AU14:AV26">ROUND(AT14,0)</f>
        <v>2777</v>
      </c>
      <c r="AV14" s="246">
        <f t="shared" si="36"/>
        <v>2777</v>
      </c>
      <c r="AW14" s="287">
        <f t="shared" si="33"/>
        <v>8331</v>
      </c>
      <c r="AX14" s="183">
        <v>3000</v>
      </c>
      <c r="AY14" s="246">
        <v>3000</v>
      </c>
      <c r="AZ14" s="338">
        <v>3053</v>
      </c>
      <c r="BA14" s="287">
        <f t="shared" si="34"/>
        <v>9053</v>
      </c>
      <c r="BB14" s="277"/>
      <c r="BC14" s="250"/>
      <c r="BD14" s="250"/>
      <c r="BE14" s="194"/>
      <c r="BF14" s="123"/>
      <c r="BG14" s="250"/>
      <c r="BH14" s="322"/>
      <c r="BI14" s="126"/>
      <c r="BJ14" s="328">
        <f t="shared" si="35"/>
        <v>17384</v>
      </c>
      <c r="BK14" s="115" t="s">
        <v>33</v>
      </c>
      <c r="BL14" s="203" t="s">
        <v>45</v>
      </c>
      <c r="BM14" s="204">
        <v>3</v>
      </c>
      <c r="BN14" s="281"/>
      <c r="BO14" s="281"/>
      <c r="BP14" s="281"/>
    </row>
    <row r="15" spans="2:68" s="163" customFormat="1" ht="24" customHeight="1">
      <c r="B15" s="149">
        <v>13</v>
      </c>
      <c r="C15" s="292" t="s">
        <v>64</v>
      </c>
      <c r="D15" s="150" t="s">
        <v>30</v>
      </c>
      <c r="E15" s="151">
        <v>0.8</v>
      </c>
      <c r="F15" s="152">
        <v>1</v>
      </c>
      <c r="G15" s="153">
        <f t="shared" si="14"/>
        <v>0.8</v>
      </c>
      <c r="H15" s="153">
        <f t="shared" si="15"/>
        <v>4524.886877828055</v>
      </c>
      <c r="I15" s="153">
        <f t="shared" si="16"/>
        <v>1508</v>
      </c>
      <c r="J15" s="154">
        <f t="shared" si="17"/>
        <v>1571</v>
      </c>
      <c r="K15" s="155">
        <f t="shared" si="0"/>
        <v>1256.8</v>
      </c>
      <c r="L15" s="155">
        <f t="shared" si="1"/>
        <v>1256.8</v>
      </c>
      <c r="M15" s="155">
        <f t="shared" si="2"/>
        <v>1256.8</v>
      </c>
      <c r="N15" s="155">
        <f t="shared" si="18"/>
        <v>1194.57</v>
      </c>
      <c r="O15" s="156">
        <f t="shared" si="3"/>
        <v>1195</v>
      </c>
      <c r="P15" s="157"/>
      <c r="Q15" s="158">
        <v>5870</v>
      </c>
      <c r="R15" s="158">
        <f>ROUND(Q15/6,0)</f>
        <v>978</v>
      </c>
      <c r="S15" s="158">
        <f>ROUND(Q15/6,0)</f>
        <v>978</v>
      </c>
      <c r="T15" s="158">
        <f>ROUND(Q15/6,0)</f>
        <v>978</v>
      </c>
      <c r="U15" s="158">
        <f>ROUND(Q15/6,0)</f>
        <v>978</v>
      </c>
      <c r="V15" s="158">
        <f>ROUND(Q15/6,0)</f>
        <v>978</v>
      </c>
      <c r="W15" s="157"/>
      <c r="X15" s="158">
        <f>Q15-R15-S15-T15-U15-V15</f>
        <v>980</v>
      </c>
      <c r="Y15" s="158">
        <f>SUM(R15+S15+T15+U15+V15+X15)</f>
        <v>5870</v>
      </c>
      <c r="Z15" s="158"/>
      <c r="AA15" s="158"/>
      <c r="AB15" s="186">
        <v>0.8</v>
      </c>
      <c r="AC15" s="159">
        <f t="shared" si="19"/>
        <v>1508</v>
      </c>
      <c r="AD15" s="159">
        <f t="shared" si="20"/>
        <v>1508</v>
      </c>
      <c r="AE15" s="159">
        <f t="shared" si="21"/>
        <v>1508</v>
      </c>
      <c r="AF15" s="109">
        <f t="shared" si="22"/>
        <v>4524</v>
      </c>
      <c r="AG15" s="184">
        <f t="shared" si="23"/>
        <v>3837.1040723981896</v>
      </c>
      <c r="AH15" s="184">
        <f t="shared" si="24"/>
        <v>3837</v>
      </c>
      <c r="AI15" s="184">
        <f t="shared" si="25"/>
        <v>1279</v>
      </c>
      <c r="AJ15" s="184">
        <v>1279</v>
      </c>
      <c r="AK15" s="160">
        <v>1279</v>
      </c>
      <c r="AL15" s="126">
        <f t="shared" si="26"/>
        <v>3837</v>
      </c>
      <c r="AM15" s="156">
        <f t="shared" si="27"/>
        <v>1492.8229665071772</v>
      </c>
      <c r="AN15" s="160">
        <f t="shared" si="28"/>
        <v>1493</v>
      </c>
      <c r="AO15" s="329">
        <f t="shared" si="29"/>
        <v>0.8</v>
      </c>
      <c r="AP15" s="244">
        <v>0.8</v>
      </c>
      <c r="AQ15" s="183">
        <f t="shared" si="30"/>
        <v>1854.5439999999999</v>
      </c>
      <c r="AR15" s="183">
        <f t="shared" si="31"/>
        <v>2000</v>
      </c>
      <c r="AS15" s="183">
        <f t="shared" si="32"/>
        <v>2038</v>
      </c>
      <c r="AT15" s="246">
        <f aca="true" t="shared" si="37" ref="AT15:AT26">ROUND(AQ15,0)</f>
        <v>1855</v>
      </c>
      <c r="AU15" s="246">
        <f t="shared" si="36"/>
        <v>1855</v>
      </c>
      <c r="AV15" s="246">
        <f t="shared" si="36"/>
        <v>1855</v>
      </c>
      <c r="AW15" s="287">
        <f t="shared" si="33"/>
        <v>5565</v>
      </c>
      <c r="AX15" s="183">
        <v>2000</v>
      </c>
      <c r="AY15" s="246">
        <v>2000</v>
      </c>
      <c r="AZ15" s="184">
        <v>2038</v>
      </c>
      <c r="BA15" s="287">
        <f t="shared" si="34"/>
        <v>6038</v>
      </c>
      <c r="BB15" s="277"/>
      <c r="BC15" s="249"/>
      <c r="BD15" s="249"/>
      <c r="BE15" s="194"/>
      <c r="BF15" s="123"/>
      <c r="BG15" s="249"/>
      <c r="BH15" s="321"/>
      <c r="BI15" s="126"/>
      <c r="BJ15" s="328">
        <f t="shared" si="35"/>
        <v>11603</v>
      </c>
      <c r="BK15" s="161" t="s">
        <v>33</v>
      </c>
      <c r="BL15" s="161"/>
      <c r="BM15" s="162">
        <v>3</v>
      </c>
      <c r="BN15" s="282"/>
      <c r="BO15" s="282"/>
      <c r="BP15" s="282"/>
    </row>
    <row r="16" spans="2:68" s="163" customFormat="1" ht="24" customHeight="1">
      <c r="B16" s="149">
        <v>14</v>
      </c>
      <c r="C16" s="292" t="s">
        <v>22</v>
      </c>
      <c r="D16" s="164" t="s">
        <v>30</v>
      </c>
      <c r="E16" s="152">
        <v>0.8</v>
      </c>
      <c r="F16" s="165">
        <v>1</v>
      </c>
      <c r="G16" s="153">
        <f t="shared" si="14"/>
        <v>0.8</v>
      </c>
      <c r="H16" s="153">
        <f t="shared" si="15"/>
        <v>4524.886877828055</v>
      </c>
      <c r="I16" s="153">
        <f t="shared" si="16"/>
        <v>1508</v>
      </c>
      <c r="J16" s="154">
        <f t="shared" si="17"/>
        <v>1571</v>
      </c>
      <c r="K16" s="155">
        <f t="shared" si="0"/>
        <v>1256.8</v>
      </c>
      <c r="L16" s="155">
        <f t="shared" si="1"/>
        <v>1256.8</v>
      </c>
      <c r="M16" s="155">
        <f t="shared" si="2"/>
        <v>1256.8</v>
      </c>
      <c r="N16" s="155">
        <f t="shared" si="18"/>
        <v>1194.57</v>
      </c>
      <c r="O16" s="156">
        <f t="shared" si="3"/>
        <v>1195</v>
      </c>
      <c r="P16" s="158">
        <v>1000</v>
      </c>
      <c r="Q16" s="158">
        <v>5957</v>
      </c>
      <c r="R16" s="158">
        <f>ROUND(Q16/6,0)</f>
        <v>993</v>
      </c>
      <c r="S16" s="158">
        <f>ROUND(Q16/6,0)</f>
        <v>993</v>
      </c>
      <c r="T16" s="158">
        <f>ROUND(Q16/6,0)</f>
        <v>993</v>
      </c>
      <c r="U16" s="158">
        <f>ROUND(Q16/6,0)</f>
        <v>993</v>
      </c>
      <c r="V16" s="158">
        <f>ROUND(Q16/6,0)</f>
        <v>993</v>
      </c>
      <c r="W16" s="158"/>
      <c r="X16" s="158">
        <f>Q16-R16-S16-T16-U16-V16</f>
        <v>992</v>
      </c>
      <c r="Y16" s="158">
        <f>SUM(R16+S16+T16+U16+V16+X16)</f>
        <v>5957</v>
      </c>
      <c r="Z16" s="158"/>
      <c r="AA16" s="158"/>
      <c r="AB16" s="186">
        <v>0.8</v>
      </c>
      <c r="AC16" s="159">
        <f t="shared" si="19"/>
        <v>1508</v>
      </c>
      <c r="AD16" s="159">
        <f t="shared" si="20"/>
        <v>1508</v>
      </c>
      <c r="AE16" s="159">
        <f t="shared" si="21"/>
        <v>1508</v>
      </c>
      <c r="AF16" s="109">
        <f t="shared" si="22"/>
        <v>4524</v>
      </c>
      <c r="AG16" s="184">
        <f t="shared" si="23"/>
        <v>3837.1040723981896</v>
      </c>
      <c r="AH16" s="184">
        <f t="shared" si="24"/>
        <v>3837</v>
      </c>
      <c r="AI16" s="184">
        <f t="shared" si="25"/>
        <v>1279</v>
      </c>
      <c r="AJ16" s="184">
        <v>1279</v>
      </c>
      <c r="AK16" s="160">
        <v>1279</v>
      </c>
      <c r="AL16" s="126">
        <f t="shared" si="26"/>
        <v>3837</v>
      </c>
      <c r="AM16" s="156">
        <f t="shared" si="27"/>
        <v>1492.8229665071772</v>
      </c>
      <c r="AN16" s="160">
        <f t="shared" si="28"/>
        <v>1493</v>
      </c>
      <c r="AO16" s="329">
        <f t="shared" si="29"/>
        <v>0.8</v>
      </c>
      <c r="AP16" s="244">
        <v>0.8</v>
      </c>
      <c r="AQ16" s="183">
        <f t="shared" si="30"/>
        <v>1854.5439999999999</v>
      </c>
      <c r="AR16" s="183">
        <f t="shared" si="31"/>
        <v>2000</v>
      </c>
      <c r="AS16" s="183">
        <f t="shared" si="32"/>
        <v>2038</v>
      </c>
      <c r="AT16" s="246">
        <f t="shared" si="37"/>
        <v>1855</v>
      </c>
      <c r="AU16" s="246">
        <f t="shared" si="36"/>
        <v>1855</v>
      </c>
      <c r="AV16" s="246">
        <f t="shared" si="36"/>
        <v>1855</v>
      </c>
      <c r="AW16" s="287">
        <f t="shared" si="33"/>
        <v>5565</v>
      </c>
      <c r="AX16" s="183">
        <v>2000</v>
      </c>
      <c r="AY16" s="246">
        <v>2000</v>
      </c>
      <c r="AZ16" s="184">
        <v>2038</v>
      </c>
      <c r="BA16" s="287">
        <f t="shared" si="34"/>
        <v>6038</v>
      </c>
      <c r="BB16" s="277"/>
      <c r="BC16" s="249"/>
      <c r="BD16" s="249"/>
      <c r="BE16" s="194"/>
      <c r="BF16" s="123"/>
      <c r="BG16" s="249"/>
      <c r="BH16" s="321"/>
      <c r="BI16" s="126"/>
      <c r="BJ16" s="328">
        <f t="shared" si="35"/>
        <v>11603</v>
      </c>
      <c r="BK16" s="161" t="s">
        <v>33</v>
      </c>
      <c r="BL16" s="161"/>
      <c r="BM16" s="162">
        <v>3</v>
      </c>
      <c r="BN16" s="282"/>
      <c r="BO16" s="282"/>
      <c r="BP16" s="282"/>
    </row>
    <row r="17" spans="2:68" s="163" customFormat="1" ht="24" customHeight="1">
      <c r="B17" s="149">
        <v>15</v>
      </c>
      <c r="C17" s="292" t="s">
        <v>91</v>
      </c>
      <c r="D17" s="150" t="s">
        <v>30</v>
      </c>
      <c r="E17" s="151">
        <v>0.8</v>
      </c>
      <c r="F17" s="152">
        <v>1</v>
      </c>
      <c r="G17" s="153">
        <f t="shared" si="14"/>
        <v>0.8</v>
      </c>
      <c r="H17" s="153">
        <f t="shared" si="15"/>
        <v>4524.886877828055</v>
      </c>
      <c r="I17" s="153">
        <f t="shared" si="16"/>
        <v>1508</v>
      </c>
      <c r="J17" s="154">
        <f t="shared" si="17"/>
        <v>1571</v>
      </c>
      <c r="K17" s="155">
        <f t="shared" si="0"/>
        <v>1256.8</v>
      </c>
      <c r="L17" s="155">
        <f t="shared" si="1"/>
        <v>1256.8</v>
      </c>
      <c r="M17" s="155">
        <f t="shared" si="2"/>
        <v>1256.8</v>
      </c>
      <c r="N17" s="155">
        <f t="shared" si="18"/>
        <v>1194.57</v>
      </c>
      <c r="O17" s="156">
        <f t="shared" si="3"/>
        <v>1195</v>
      </c>
      <c r="P17" s="157"/>
      <c r="Q17" s="158">
        <v>5962</v>
      </c>
      <c r="R17" s="158">
        <f>ROUND(Q17/6,0)</f>
        <v>994</v>
      </c>
      <c r="S17" s="158">
        <f>ROUND(Q17/6,0)</f>
        <v>994</v>
      </c>
      <c r="T17" s="158">
        <f>ROUND(Q17/6,0)</f>
        <v>994</v>
      </c>
      <c r="U17" s="158">
        <f>ROUND(Q17/6,0)</f>
        <v>994</v>
      </c>
      <c r="V17" s="158">
        <f>ROUND(Q17/6,0)</f>
        <v>994</v>
      </c>
      <c r="W17" s="157"/>
      <c r="X17" s="158">
        <f>Q17-R17-S17-T17-U17-V17</f>
        <v>992</v>
      </c>
      <c r="Y17" s="158">
        <f>SUM(R17+S17+T17+U17+V17+X17)</f>
        <v>5962</v>
      </c>
      <c r="Z17" s="158"/>
      <c r="AA17" s="158"/>
      <c r="AB17" s="186">
        <v>0.8</v>
      </c>
      <c r="AC17" s="159">
        <f t="shared" si="19"/>
        <v>1508</v>
      </c>
      <c r="AD17" s="159">
        <f t="shared" si="20"/>
        <v>1508</v>
      </c>
      <c r="AE17" s="159">
        <f t="shared" si="21"/>
        <v>1508</v>
      </c>
      <c r="AF17" s="109">
        <f t="shared" si="22"/>
        <v>4524</v>
      </c>
      <c r="AG17" s="184">
        <f t="shared" si="23"/>
        <v>3837.1040723981896</v>
      </c>
      <c r="AH17" s="184">
        <f t="shared" si="24"/>
        <v>3837</v>
      </c>
      <c r="AI17" s="184">
        <f t="shared" si="25"/>
        <v>1279</v>
      </c>
      <c r="AJ17" s="184">
        <v>1279</v>
      </c>
      <c r="AK17" s="160">
        <v>1279</v>
      </c>
      <c r="AL17" s="126">
        <f t="shared" si="26"/>
        <v>3837</v>
      </c>
      <c r="AM17" s="156">
        <f t="shared" si="27"/>
        <v>1492.8229665071772</v>
      </c>
      <c r="AN17" s="160">
        <f t="shared" si="28"/>
        <v>1493</v>
      </c>
      <c r="AO17" s="329">
        <f t="shared" si="29"/>
        <v>0.8</v>
      </c>
      <c r="AP17" s="244">
        <v>0.8</v>
      </c>
      <c r="AQ17" s="183">
        <f t="shared" si="30"/>
        <v>1854.5439999999999</v>
      </c>
      <c r="AR17" s="183">
        <f t="shared" si="31"/>
        <v>2000</v>
      </c>
      <c r="AS17" s="183">
        <f t="shared" si="32"/>
        <v>2038</v>
      </c>
      <c r="AT17" s="246">
        <f t="shared" si="37"/>
        <v>1855</v>
      </c>
      <c r="AU17" s="246">
        <f t="shared" si="36"/>
        <v>1855</v>
      </c>
      <c r="AV17" s="246">
        <f t="shared" si="36"/>
        <v>1855</v>
      </c>
      <c r="AW17" s="287">
        <f t="shared" si="33"/>
        <v>5565</v>
      </c>
      <c r="AX17" s="183">
        <v>2000</v>
      </c>
      <c r="AY17" s="246">
        <v>2000</v>
      </c>
      <c r="AZ17" s="184">
        <v>2038</v>
      </c>
      <c r="BA17" s="287">
        <f t="shared" si="34"/>
        <v>6038</v>
      </c>
      <c r="BB17" s="277"/>
      <c r="BC17" s="249"/>
      <c r="BD17" s="249"/>
      <c r="BE17" s="194"/>
      <c r="BF17" s="123"/>
      <c r="BG17" s="249"/>
      <c r="BH17" s="321"/>
      <c r="BI17" s="126"/>
      <c r="BJ17" s="328">
        <f t="shared" si="35"/>
        <v>11603</v>
      </c>
      <c r="BK17" s="161" t="s">
        <v>33</v>
      </c>
      <c r="BL17" s="161"/>
      <c r="BM17" s="162">
        <v>3</v>
      </c>
      <c r="BN17" s="282"/>
      <c r="BO17" s="282"/>
      <c r="BP17" s="282"/>
    </row>
    <row r="18" spans="2:68" s="163" customFormat="1" ht="22.5" customHeight="1">
      <c r="B18" s="149">
        <v>16</v>
      </c>
      <c r="C18" s="292" t="s">
        <v>23</v>
      </c>
      <c r="D18" s="164" t="s">
        <v>30</v>
      </c>
      <c r="E18" s="152">
        <v>0.8</v>
      </c>
      <c r="F18" s="152">
        <v>1</v>
      </c>
      <c r="G18" s="153">
        <f t="shared" si="14"/>
        <v>0.8</v>
      </c>
      <c r="H18" s="153">
        <f t="shared" si="15"/>
        <v>4524.886877828055</v>
      </c>
      <c r="I18" s="153">
        <f t="shared" si="16"/>
        <v>1508</v>
      </c>
      <c r="J18" s="154">
        <f t="shared" si="17"/>
        <v>1571</v>
      </c>
      <c r="K18" s="155">
        <f t="shared" si="0"/>
        <v>1256.8</v>
      </c>
      <c r="L18" s="155">
        <f t="shared" si="1"/>
        <v>1256.8</v>
      </c>
      <c r="M18" s="166">
        <f t="shared" si="2"/>
        <v>1256.8</v>
      </c>
      <c r="N18" s="155">
        <f t="shared" si="18"/>
        <v>1194.57</v>
      </c>
      <c r="O18" s="156">
        <f t="shared" si="3"/>
        <v>1195</v>
      </c>
      <c r="P18" s="158">
        <v>1400</v>
      </c>
      <c r="Q18" s="158">
        <v>8936</v>
      </c>
      <c r="R18" s="158">
        <f>ROUND(Q18/6,0)</f>
        <v>1489</v>
      </c>
      <c r="S18" s="158">
        <f>ROUND(Q18/6,0)</f>
        <v>1489</v>
      </c>
      <c r="T18" s="158">
        <f>ROUND(Q18/6,0)</f>
        <v>1489</v>
      </c>
      <c r="U18" s="158">
        <f>ROUND(Q18/6,0)</f>
        <v>1489</v>
      </c>
      <c r="V18" s="158">
        <f>ROUND(Q18/6,0)</f>
        <v>1489</v>
      </c>
      <c r="W18" s="158"/>
      <c r="X18" s="158">
        <f>Q18-R18-S18-T18-U18-V18</f>
        <v>1491</v>
      </c>
      <c r="Y18" s="158">
        <f>SUM(R18+S18+T18+U18+V18+X18)</f>
        <v>8936</v>
      </c>
      <c r="Z18" s="158"/>
      <c r="AA18" s="158"/>
      <c r="AB18" s="153">
        <v>0.8</v>
      </c>
      <c r="AC18" s="159">
        <f t="shared" si="19"/>
        <v>1508</v>
      </c>
      <c r="AD18" s="159">
        <f t="shared" si="20"/>
        <v>1508</v>
      </c>
      <c r="AE18" s="159">
        <f t="shared" si="21"/>
        <v>1508</v>
      </c>
      <c r="AF18" s="213">
        <f t="shared" si="22"/>
        <v>4524</v>
      </c>
      <c r="AG18" s="184">
        <f t="shared" si="23"/>
        <v>3837.1040723981896</v>
      </c>
      <c r="AH18" s="184">
        <f t="shared" si="24"/>
        <v>3837</v>
      </c>
      <c r="AI18" s="184">
        <f t="shared" si="25"/>
        <v>1279</v>
      </c>
      <c r="AJ18" s="184">
        <v>1919</v>
      </c>
      <c r="AK18" s="160">
        <v>1919</v>
      </c>
      <c r="AL18" s="160">
        <f t="shared" si="26"/>
        <v>5117</v>
      </c>
      <c r="AM18" s="156">
        <f t="shared" si="27"/>
        <v>1492.8229665071772</v>
      </c>
      <c r="AN18" s="160">
        <f t="shared" si="28"/>
        <v>1493</v>
      </c>
      <c r="AO18" s="329">
        <f aca="true" t="shared" si="38" ref="AO18:AO25">E18*F18</f>
        <v>0.8</v>
      </c>
      <c r="AP18" s="244">
        <v>0.8</v>
      </c>
      <c r="AQ18" s="183">
        <f t="shared" si="30"/>
        <v>1854.5439999999999</v>
      </c>
      <c r="AR18" s="183">
        <f t="shared" si="31"/>
        <v>2000</v>
      </c>
      <c r="AS18" s="183">
        <f t="shared" si="32"/>
        <v>2038</v>
      </c>
      <c r="AT18" s="246">
        <f t="shared" si="37"/>
        <v>1855</v>
      </c>
      <c r="AU18" s="246">
        <f t="shared" si="36"/>
        <v>1855</v>
      </c>
      <c r="AV18" s="246">
        <f t="shared" si="36"/>
        <v>1855</v>
      </c>
      <c r="AW18" s="287">
        <f t="shared" si="33"/>
        <v>5565</v>
      </c>
      <c r="AX18" s="183">
        <v>2000</v>
      </c>
      <c r="AY18" s="246">
        <v>2000</v>
      </c>
      <c r="AZ18" s="184">
        <v>2038</v>
      </c>
      <c r="BA18" s="287">
        <f t="shared" si="34"/>
        <v>6038</v>
      </c>
      <c r="BB18" s="277"/>
      <c r="BC18" s="249"/>
      <c r="BD18" s="249"/>
      <c r="BE18" s="194"/>
      <c r="BF18" s="123"/>
      <c r="BG18" s="249"/>
      <c r="BH18" s="321"/>
      <c r="BI18" s="126"/>
      <c r="BJ18" s="328">
        <f t="shared" si="35"/>
        <v>11603</v>
      </c>
      <c r="BK18" s="161"/>
      <c r="BL18" s="214" t="s">
        <v>108</v>
      </c>
      <c r="BM18" s="162">
        <v>3</v>
      </c>
      <c r="BN18" s="282"/>
      <c r="BO18" s="282"/>
      <c r="BP18" s="282"/>
    </row>
    <row r="19" spans="2:68" s="136" customFormat="1" ht="21.75" customHeight="1">
      <c r="B19" s="149">
        <v>17</v>
      </c>
      <c r="C19" s="293" t="s">
        <v>17</v>
      </c>
      <c r="D19" s="119" t="s">
        <v>29</v>
      </c>
      <c r="E19" s="120">
        <v>1</v>
      </c>
      <c r="F19" s="120">
        <v>1</v>
      </c>
      <c r="G19" s="121">
        <f t="shared" si="14"/>
        <v>1</v>
      </c>
      <c r="H19" s="121">
        <f t="shared" si="15"/>
        <v>5656.108597285068</v>
      </c>
      <c r="I19" s="121">
        <f t="shared" si="16"/>
        <v>1885</v>
      </c>
      <c r="J19" s="122">
        <f t="shared" si="17"/>
        <v>1571</v>
      </c>
      <c r="K19" s="123">
        <f t="shared" si="0"/>
        <v>1571</v>
      </c>
      <c r="L19" s="123">
        <f t="shared" si="1"/>
        <v>1571</v>
      </c>
      <c r="M19" s="131">
        <f t="shared" si="2"/>
        <v>1571</v>
      </c>
      <c r="N19" s="123">
        <f t="shared" si="18"/>
        <v>1493.21</v>
      </c>
      <c r="O19" s="124">
        <f t="shared" si="3"/>
        <v>1493</v>
      </c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86">
        <v>1</v>
      </c>
      <c r="AC19" s="125">
        <f t="shared" si="19"/>
        <v>1885</v>
      </c>
      <c r="AD19" s="125">
        <f t="shared" si="20"/>
        <v>1885</v>
      </c>
      <c r="AE19" s="125">
        <f t="shared" si="21"/>
        <v>1885</v>
      </c>
      <c r="AF19" s="109">
        <f t="shared" si="22"/>
        <v>5655</v>
      </c>
      <c r="AG19" s="183">
        <f t="shared" si="23"/>
        <v>4796.380090497737</v>
      </c>
      <c r="AH19" s="183">
        <f t="shared" si="24"/>
        <v>4796</v>
      </c>
      <c r="AI19" s="183">
        <f t="shared" si="25"/>
        <v>1599</v>
      </c>
      <c r="AJ19" s="183">
        <v>1599</v>
      </c>
      <c r="AK19" s="133">
        <v>1599</v>
      </c>
      <c r="AL19" s="126">
        <f t="shared" si="26"/>
        <v>4797</v>
      </c>
      <c r="AM19" s="124">
        <f t="shared" si="27"/>
        <v>1866.0287081339713</v>
      </c>
      <c r="AN19" s="126">
        <f t="shared" si="28"/>
        <v>1866</v>
      </c>
      <c r="AO19" s="329">
        <f t="shared" si="38"/>
        <v>1</v>
      </c>
      <c r="AP19" s="243">
        <v>1</v>
      </c>
      <c r="AQ19" s="183">
        <f t="shared" si="30"/>
        <v>2318.18</v>
      </c>
      <c r="AR19" s="183">
        <f t="shared" si="31"/>
        <v>2500</v>
      </c>
      <c r="AS19" s="183">
        <f t="shared" si="32"/>
        <v>2547</v>
      </c>
      <c r="AT19" s="246">
        <f t="shared" si="37"/>
        <v>2318</v>
      </c>
      <c r="AU19" s="246">
        <f t="shared" si="36"/>
        <v>2318</v>
      </c>
      <c r="AV19" s="246">
        <f t="shared" si="36"/>
        <v>2318</v>
      </c>
      <c r="AW19" s="287">
        <f t="shared" si="33"/>
        <v>6954</v>
      </c>
      <c r="AX19" s="183">
        <v>2500</v>
      </c>
      <c r="AY19" s="246">
        <v>2500</v>
      </c>
      <c r="AZ19" s="183">
        <v>2547</v>
      </c>
      <c r="BA19" s="287">
        <f t="shared" si="34"/>
        <v>7547</v>
      </c>
      <c r="BB19" s="277"/>
      <c r="BC19" s="246"/>
      <c r="BD19" s="246"/>
      <c r="BE19" s="194"/>
      <c r="BF19" s="123"/>
      <c r="BG19" s="246"/>
      <c r="BH19" s="318"/>
      <c r="BI19" s="126"/>
      <c r="BJ19" s="328">
        <f t="shared" si="35"/>
        <v>14501</v>
      </c>
      <c r="BK19" s="134" t="s">
        <v>33</v>
      </c>
      <c r="BL19" s="134"/>
      <c r="BM19" s="135">
        <v>3</v>
      </c>
      <c r="BN19" s="282"/>
      <c r="BO19" s="282"/>
      <c r="BP19" s="282"/>
    </row>
    <row r="20" spans="2:68" s="226" customFormat="1" ht="26.25" customHeight="1">
      <c r="B20" s="149">
        <v>18</v>
      </c>
      <c r="C20" s="294" t="s">
        <v>122</v>
      </c>
      <c r="D20" s="164" t="s">
        <v>30</v>
      </c>
      <c r="E20" s="152">
        <v>0.8</v>
      </c>
      <c r="F20" s="152">
        <v>1</v>
      </c>
      <c r="G20" s="227"/>
      <c r="H20" s="215"/>
      <c r="I20" s="215"/>
      <c r="J20" s="216"/>
      <c r="K20" s="217"/>
      <c r="L20" s="217"/>
      <c r="M20" s="218"/>
      <c r="N20" s="217"/>
      <c r="O20" s="219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15"/>
      <c r="AC20" s="221"/>
      <c r="AD20" s="221"/>
      <c r="AE20" s="221"/>
      <c r="AF20" s="222"/>
      <c r="AG20" s="223"/>
      <c r="AH20" s="223"/>
      <c r="AI20" s="223"/>
      <c r="AJ20" s="223"/>
      <c r="AK20" s="224"/>
      <c r="AL20" s="228">
        <f t="shared" si="26"/>
        <v>0</v>
      </c>
      <c r="AM20" s="219"/>
      <c r="AN20" s="225"/>
      <c r="AO20" s="329">
        <f t="shared" si="38"/>
        <v>0.8</v>
      </c>
      <c r="AP20" s="244">
        <v>0.8</v>
      </c>
      <c r="AQ20" s="183">
        <f t="shared" si="30"/>
        <v>1854.5439999999999</v>
      </c>
      <c r="AR20" s="183">
        <f t="shared" si="31"/>
        <v>2000</v>
      </c>
      <c r="AS20" s="183">
        <f t="shared" si="32"/>
        <v>2038</v>
      </c>
      <c r="AT20" s="246">
        <f t="shared" si="37"/>
        <v>1855</v>
      </c>
      <c r="AU20" s="246">
        <f t="shared" si="36"/>
        <v>1855</v>
      </c>
      <c r="AV20" s="246">
        <f t="shared" si="36"/>
        <v>1855</v>
      </c>
      <c r="AW20" s="287">
        <f t="shared" si="33"/>
        <v>5565</v>
      </c>
      <c r="AX20" s="183">
        <v>2000</v>
      </c>
      <c r="AY20" s="246">
        <v>2000</v>
      </c>
      <c r="AZ20" s="184">
        <v>2038</v>
      </c>
      <c r="BA20" s="287">
        <f t="shared" si="34"/>
        <v>6038</v>
      </c>
      <c r="BB20" s="277"/>
      <c r="BC20" s="249"/>
      <c r="BD20" s="249"/>
      <c r="BE20" s="194"/>
      <c r="BF20" s="123"/>
      <c r="BG20" s="249"/>
      <c r="BH20" s="323"/>
      <c r="BI20" s="126"/>
      <c r="BJ20" s="328">
        <f t="shared" si="35"/>
        <v>11603</v>
      </c>
      <c r="BK20" s="161" t="s">
        <v>33</v>
      </c>
      <c r="BL20" s="161"/>
      <c r="BM20" s="162">
        <v>3</v>
      </c>
      <c r="BN20" s="15"/>
      <c r="BO20" s="15"/>
      <c r="BP20" s="15"/>
    </row>
    <row r="21" spans="2:68" s="226" customFormat="1" ht="26.25" customHeight="1">
      <c r="B21" s="149">
        <v>19</v>
      </c>
      <c r="C21" s="294" t="s">
        <v>109</v>
      </c>
      <c r="D21" s="164" t="s">
        <v>30</v>
      </c>
      <c r="E21" s="152">
        <v>0.8</v>
      </c>
      <c r="F21" s="152">
        <v>1</v>
      </c>
      <c r="G21" s="227"/>
      <c r="H21" s="215"/>
      <c r="I21" s="215"/>
      <c r="J21" s="216"/>
      <c r="K21" s="217"/>
      <c r="L21" s="217"/>
      <c r="M21" s="218"/>
      <c r="N21" s="217"/>
      <c r="O21" s="219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15"/>
      <c r="AC21" s="221"/>
      <c r="AD21" s="221"/>
      <c r="AE21" s="221"/>
      <c r="AF21" s="222"/>
      <c r="AG21" s="223"/>
      <c r="AH21" s="223"/>
      <c r="AI21" s="223"/>
      <c r="AJ21" s="223"/>
      <c r="AK21" s="224"/>
      <c r="AL21" s="228">
        <f>AI21+AJ21+AK21</f>
        <v>0</v>
      </c>
      <c r="AM21" s="219"/>
      <c r="AN21" s="225"/>
      <c r="AO21" s="329">
        <f t="shared" si="38"/>
        <v>0.8</v>
      </c>
      <c r="AP21" s="244">
        <v>0.8</v>
      </c>
      <c r="AQ21" s="183">
        <f t="shared" si="30"/>
        <v>1854.5439999999999</v>
      </c>
      <c r="AR21" s="183">
        <f t="shared" si="31"/>
        <v>2000</v>
      </c>
      <c r="AS21" s="183">
        <f t="shared" si="32"/>
        <v>2038</v>
      </c>
      <c r="AT21" s="246">
        <f t="shared" si="37"/>
        <v>1855</v>
      </c>
      <c r="AU21" s="246">
        <f t="shared" si="36"/>
        <v>1855</v>
      </c>
      <c r="AV21" s="246">
        <f t="shared" si="36"/>
        <v>1855</v>
      </c>
      <c r="AW21" s="287">
        <f t="shared" si="33"/>
        <v>5565</v>
      </c>
      <c r="AX21" s="183">
        <v>2000</v>
      </c>
      <c r="AY21" s="246">
        <v>2000</v>
      </c>
      <c r="AZ21" s="184">
        <v>2038</v>
      </c>
      <c r="BA21" s="287">
        <f t="shared" si="34"/>
        <v>6038</v>
      </c>
      <c r="BB21" s="277"/>
      <c r="BC21" s="249"/>
      <c r="BD21" s="249"/>
      <c r="BE21" s="194"/>
      <c r="BF21" s="123"/>
      <c r="BG21" s="249"/>
      <c r="BH21" s="323"/>
      <c r="BI21" s="126"/>
      <c r="BJ21" s="328">
        <f t="shared" si="35"/>
        <v>11603</v>
      </c>
      <c r="BK21" s="161" t="s">
        <v>33</v>
      </c>
      <c r="BL21" s="161"/>
      <c r="BM21" s="162"/>
      <c r="BN21" s="15"/>
      <c r="BO21" s="15"/>
      <c r="BP21" s="15"/>
    </row>
    <row r="22" spans="2:68" s="226" customFormat="1" ht="26.25" customHeight="1">
      <c r="B22" s="149">
        <v>20</v>
      </c>
      <c r="C22" s="302" t="s">
        <v>118</v>
      </c>
      <c r="D22" s="150" t="s">
        <v>30</v>
      </c>
      <c r="E22" s="151">
        <v>0.8</v>
      </c>
      <c r="F22" s="151">
        <v>1</v>
      </c>
      <c r="G22" s="303"/>
      <c r="H22" s="303"/>
      <c r="I22" s="303"/>
      <c r="J22" s="304"/>
      <c r="K22" s="305"/>
      <c r="L22" s="305"/>
      <c r="M22" s="306"/>
      <c r="N22" s="305"/>
      <c r="O22" s="307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3"/>
      <c r="AC22" s="309"/>
      <c r="AD22" s="309"/>
      <c r="AE22" s="309"/>
      <c r="AF22" s="310"/>
      <c r="AG22" s="311"/>
      <c r="AH22" s="311"/>
      <c r="AI22" s="311"/>
      <c r="AJ22" s="311"/>
      <c r="AK22" s="312"/>
      <c r="AL22" s="313"/>
      <c r="AM22" s="307"/>
      <c r="AN22" s="313"/>
      <c r="AO22" s="329">
        <f t="shared" si="38"/>
        <v>0.8</v>
      </c>
      <c r="AP22" s="244">
        <v>0.8</v>
      </c>
      <c r="AQ22" s="183">
        <f t="shared" si="30"/>
        <v>1854.5439999999999</v>
      </c>
      <c r="AR22" s="183">
        <f t="shared" si="31"/>
        <v>2000</v>
      </c>
      <c r="AS22" s="183">
        <f t="shared" si="32"/>
        <v>2038</v>
      </c>
      <c r="AT22" s="246">
        <f t="shared" si="37"/>
        <v>1855</v>
      </c>
      <c r="AU22" s="246">
        <f t="shared" si="36"/>
        <v>1855</v>
      </c>
      <c r="AV22" s="246">
        <f t="shared" si="36"/>
        <v>1855</v>
      </c>
      <c r="AW22" s="287">
        <f t="shared" si="33"/>
        <v>5565</v>
      </c>
      <c r="AX22" s="183">
        <v>2000</v>
      </c>
      <c r="AY22" s="246">
        <v>2000</v>
      </c>
      <c r="AZ22" s="339">
        <v>2038</v>
      </c>
      <c r="BA22" s="287">
        <f t="shared" si="34"/>
        <v>6038</v>
      </c>
      <c r="BB22" s="277"/>
      <c r="BC22" s="314"/>
      <c r="BD22" s="314"/>
      <c r="BE22" s="194"/>
      <c r="BF22" s="123"/>
      <c r="BG22" s="314"/>
      <c r="BH22" s="324"/>
      <c r="BI22" s="126"/>
      <c r="BJ22" s="328">
        <f t="shared" si="35"/>
        <v>11603</v>
      </c>
      <c r="BK22" s="161" t="s">
        <v>33</v>
      </c>
      <c r="BL22" s="161"/>
      <c r="BM22" s="162"/>
      <c r="BN22" s="15"/>
      <c r="BO22" s="15"/>
      <c r="BP22" s="15"/>
    </row>
    <row r="23" spans="2:68" s="226" customFormat="1" ht="26.25" customHeight="1">
      <c r="B23" s="149">
        <v>21</v>
      </c>
      <c r="C23" s="294" t="s">
        <v>123</v>
      </c>
      <c r="D23" s="164" t="s">
        <v>30</v>
      </c>
      <c r="E23" s="152">
        <v>0.8</v>
      </c>
      <c r="F23" s="152">
        <v>1</v>
      </c>
      <c r="G23" s="229"/>
      <c r="H23" s="229"/>
      <c r="I23" s="229"/>
      <c r="J23" s="230"/>
      <c r="K23" s="231"/>
      <c r="L23" s="231"/>
      <c r="M23" s="232"/>
      <c r="N23" s="231"/>
      <c r="O23" s="233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29"/>
      <c r="AC23" s="235"/>
      <c r="AD23" s="235"/>
      <c r="AE23" s="235"/>
      <c r="AF23" s="236"/>
      <c r="AG23" s="237"/>
      <c r="AH23" s="237"/>
      <c r="AI23" s="237"/>
      <c r="AJ23" s="237"/>
      <c r="AK23" s="238"/>
      <c r="AL23" s="239"/>
      <c r="AM23" s="233"/>
      <c r="AN23" s="239"/>
      <c r="AO23" s="329">
        <f t="shared" si="38"/>
        <v>0.8</v>
      </c>
      <c r="AP23" s="244">
        <v>0.8</v>
      </c>
      <c r="AQ23" s="183">
        <f t="shared" si="30"/>
        <v>1854.5439999999999</v>
      </c>
      <c r="AR23" s="183">
        <f t="shared" si="31"/>
        <v>2000</v>
      </c>
      <c r="AS23" s="183">
        <f t="shared" si="32"/>
        <v>2038</v>
      </c>
      <c r="AT23" s="246">
        <f t="shared" si="37"/>
        <v>1855</v>
      </c>
      <c r="AU23" s="246">
        <f t="shared" si="36"/>
        <v>1855</v>
      </c>
      <c r="AV23" s="246">
        <f t="shared" si="36"/>
        <v>1855</v>
      </c>
      <c r="AW23" s="287">
        <f t="shared" si="33"/>
        <v>5565</v>
      </c>
      <c r="AX23" s="183">
        <v>2000</v>
      </c>
      <c r="AY23" s="246">
        <v>2000</v>
      </c>
      <c r="AZ23" s="237">
        <v>2038</v>
      </c>
      <c r="BA23" s="287">
        <f t="shared" si="34"/>
        <v>6038</v>
      </c>
      <c r="BB23" s="277"/>
      <c r="BC23" s="315"/>
      <c r="BD23" s="315"/>
      <c r="BE23" s="194"/>
      <c r="BF23" s="123"/>
      <c r="BG23" s="315"/>
      <c r="BH23" s="323"/>
      <c r="BI23" s="126"/>
      <c r="BJ23" s="328">
        <f t="shared" si="35"/>
        <v>11603</v>
      </c>
      <c r="BK23" s="161" t="s">
        <v>33</v>
      </c>
      <c r="BL23" s="161"/>
      <c r="BM23" s="162"/>
      <c r="BN23" s="15"/>
      <c r="BO23" s="15"/>
      <c r="BP23" s="15"/>
    </row>
    <row r="24" spans="2:68" s="226" customFormat="1" ht="26.25" customHeight="1">
      <c r="B24" s="149">
        <v>22</v>
      </c>
      <c r="C24" s="294" t="s">
        <v>124</v>
      </c>
      <c r="D24" s="164" t="s">
        <v>30</v>
      </c>
      <c r="E24" s="152">
        <v>0.8</v>
      </c>
      <c r="F24" s="152">
        <v>1</v>
      </c>
      <c r="G24" s="229"/>
      <c r="H24" s="229"/>
      <c r="I24" s="229"/>
      <c r="J24" s="230"/>
      <c r="K24" s="231"/>
      <c r="L24" s="231"/>
      <c r="M24" s="232"/>
      <c r="N24" s="231"/>
      <c r="O24" s="233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29"/>
      <c r="AC24" s="235"/>
      <c r="AD24" s="235"/>
      <c r="AE24" s="235"/>
      <c r="AF24" s="236"/>
      <c r="AG24" s="237"/>
      <c r="AH24" s="237"/>
      <c r="AI24" s="237"/>
      <c r="AJ24" s="237"/>
      <c r="AK24" s="238"/>
      <c r="AL24" s="239"/>
      <c r="AM24" s="233"/>
      <c r="AN24" s="239"/>
      <c r="AO24" s="329">
        <f t="shared" si="38"/>
        <v>0.8</v>
      </c>
      <c r="AP24" s="334">
        <v>0</v>
      </c>
      <c r="AQ24" s="183">
        <f t="shared" si="30"/>
        <v>1854.5439999999999</v>
      </c>
      <c r="AR24" s="183">
        <f t="shared" si="31"/>
        <v>0</v>
      </c>
      <c r="AS24" s="183">
        <f t="shared" si="32"/>
        <v>0</v>
      </c>
      <c r="AT24" s="246">
        <f t="shared" si="37"/>
        <v>1855</v>
      </c>
      <c r="AU24" s="246">
        <f t="shared" si="36"/>
        <v>1855</v>
      </c>
      <c r="AV24" s="246">
        <f t="shared" si="36"/>
        <v>1855</v>
      </c>
      <c r="AW24" s="287">
        <f t="shared" si="33"/>
        <v>5565</v>
      </c>
      <c r="AX24" s="183">
        <v>0</v>
      </c>
      <c r="AY24" s="246">
        <v>0</v>
      </c>
      <c r="AZ24" s="237">
        <v>0</v>
      </c>
      <c r="BA24" s="287">
        <f t="shared" si="34"/>
        <v>0</v>
      </c>
      <c r="BB24" s="277"/>
      <c r="BC24" s="315"/>
      <c r="BD24" s="315"/>
      <c r="BE24" s="194"/>
      <c r="BF24" s="123"/>
      <c r="BG24" s="315"/>
      <c r="BH24" s="323"/>
      <c r="BI24" s="126"/>
      <c r="BJ24" s="328">
        <f t="shared" si="35"/>
        <v>5565</v>
      </c>
      <c r="BK24" s="161" t="s">
        <v>33</v>
      </c>
      <c r="BL24" s="161"/>
      <c r="BM24" s="162"/>
      <c r="BN24" s="15"/>
      <c r="BO24" s="15"/>
      <c r="BP24" s="15"/>
    </row>
    <row r="25" spans="2:68" s="226" customFormat="1" ht="30" customHeight="1">
      <c r="B25" s="149">
        <v>23</v>
      </c>
      <c r="C25" s="316" t="s">
        <v>125</v>
      </c>
      <c r="D25" s="164" t="s">
        <v>30</v>
      </c>
      <c r="E25" s="152">
        <v>0.8</v>
      </c>
      <c r="F25" s="152">
        <v>1</v>
      </c>
      <c r="G25" s="229"/>
      <c r="H25" s="229"/>
      <c r="I25" s="229"/>
      <c r="J25" s="230"/>
      <c r="K25" s="231"/>
      <c r="L25" s="231"/>
      <c r="M25" s="232"/>
      <c r="N25" s="231"/>
      <c r="O25" s="233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29"/>
      <c r="AC25" s="235"/>
      <c r="AD25" s="235"/>
      <c r="AE25" s="235"/>
      <c r="AF25" s="236"/>
      <c r="AG25" s="237"/>
      <c r="AH25" s="237"/>
      <c r="AI25" s="237"/>
      <c r="AJ25" s="237"/>
      <c r="AK25" s="238"/>
      <c r="AL25" s="239"/>
      <c r="AM25" s="233"/>
      <c r="AN25" s="239"/>
      <c r="AO25" s="329">
        <f t="shared" si="38"/>
        <v>0.8</v>
      </c>
      <c r="AP25" s="244">
        <v>0.8</v>
      </c>
      <c r="AQ25" s="183">
        <f t="shared" si="30"/>
        <v>1854.5439999999999</v>
      </c>
      <c r="AR25" s="183">
        <f t="shared" si="31"/>
        <v>2000</v>
      </c>
      <c r="AS25" s="183">
        <f t="shared" si="32"/>
        <v>2038</v>
      </c>
      <c r="AT25" s="246">
        <f t="shared" si="37"/>
        <v>1855</v>
      </c>
      <c r="AU25" s="246">
        <f t="shared" si="36"/>
        <v>1855</v>
      </c>
      <c r="AV25" s="246">
        <f t="shared" si="36"/>
        <v>1855</v>
      </c>
      <c r="AW25" s="287">
        <f t="shared" si="33"/>
        <v>5565</v>
      </c>
      <c r="AX25" s="183">
        <v>2000</v>
      </c>
      <c r="AY25" s="246">
        <v>2000</v>
      </c>
      <c r="AZ25" s="237">
        <v>2038</v>
      </c>
      <c r="BA25" s="287">
        <f t="shared" si="34"/>
        <v>6038</v>
      </c>
      <c r="BB25" s="277"/>
      <c r="BC25" s="315"/>
      <c r="BD25" s="315"/>
      <c r="BE25" s="194"/>
      <c r="BF25" s="123"/>
      <c r="BG25" s="315"/>
      <c r="BH25" s="323"/>
      <c r="BI25" s="126"/>
      <c r="BJ25" s="328">
        <f t="shared" si="35"/>
        <v>11603</v>
      </c>
      <c r="BK25" s="161" t="s">
        <v>33</v>
      </c>
      <c r="BL25" s="161"/>
      <c r="BM25" s="162"/>
      <c r="BN25" s="15"/>
      <c r="BO25" s="15"/>
      <c r="BP25" s="15"/>
    </row>
    <row r="26" spans="2:68" s="226" customFormat="1" ht="31.5" customHeight="1">
      <c r="B26" s="149">
        <v>24</v>
      </c>
      <c r="C26" s="316" t="s">
        <v>126</v>
      </c>
      <c r="D26" s="164" t="s">
        <v>30</v>
      </c>
      <c r="E26" s="152">
        <v>0.8</v>
      </c>
      <c r="F26" s="152">
        <v>1</v>
      </c>
      <c r="G26" s="229"/>
      <c r="H26" s="229"/>
      <c r="I26" s="229"/>
      <c r="J26" s="230"/>
      <c r="K26" s="231"/>
      <c r="L26" s="231"/>
      <c r="M26" s="232"/>
      <c r="N26" s="231"/>
      <c r="O26" s="233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29"/>
      <c r="AC26" s="235"/>
      <c r="AD26" s="235"/>
      <c r="AE26" s="235"/>
      <c r="AF26" s="236"/>
      <c r="AG26" s="237"/>
      <c r="AH26" s="237"/>
      <c r="AI26" s="237"/>
      <c r="AJ26" s="237"/>
      <c r="AK26" s="238"/>
      <c r="AL26" s="239"/>
      <c r="AM26" s="233"/>
      <c r="AN26" s="239"/>
      <c r="AO26" s="329">
        <v>0</v>
      </c>
      <c r="AP26" s="334">
        <v>0</v>
      </c>
      <c r="AQ26" s="183">
        <f t="shared" si="30"/>
        <v>0</v>
      </c>
      <c r="AR26" s="183">
        <f t="shared" si="31"/>
        <v>0</v>
      </c>
      <c r="AS26" s="183">
        <f t="shared" si="32"/>
        <v>0</v>
      </c>
      <c r="AT26" s="246">
        <f t="shared" si="37"/>
        <v>0</v>
      </c>
      <c r="AU26" s="246">
        <f t="shared" si="36"/>
        <v>0</v>
      </c>
      <c r="AV26" s="246">
        <f t="shared" si="36"/>
        <v>0</v>
      </c>
      <c r="AW26" s="287">
        <f t="shared" si="33"/>
        <v>0</v>
      </c>
      <c r="AX26" s="183">
        <v>0</v>
      </c>
      <c r="AY26" s="246">
        <v>0</v>
      </c>
      <c r="AZ26" s="237">
        <v>0</v>
      </c>
      <c r="BA26" s="287">
        <f t="shared" si="34"/>
        <v>0</v>
      </c>
      <c r="BB26" s="277"/>
      <c r="BC26" s="315"/>
      <c r="BD26" s="315"/>
      <c r="BE26" s="194"/>
      <c r="BF26" s="123"/>
      <c r="BG26" s="315"/>
      <c r="BH26" s="323"/>
      <c r="BI26" s="126"/>
      <c r="BJ26" s="328">
        <f t="shared" si="35"/>
        <v>0</v>
      </c>
      <c r="BK26" s="161" t="s">
        <v>33</v>
      </c>
      <c r="BL26" s="161"/>
      <c r="BM26" s="162"/>
      <c r="BN26" s="15"/>
      <c r="BO26" s="15"/>
      <c r="BP26" s="15"/>
    </row>
    <row r="27" spans="2:68" s="177" customFormat="1" ht="21.75" customHeight="1" thickBot="1">
      <c r="B27" s="171"/>
      <c r="C27" s="295" t="s">
        <v>32</v>
      </c>
      <c r="D27" s="172"/>
      <c r="E27" s="173"/>
      <c r="F27" s="174"/>
      <c r="G27" s="193">
        <f aca="true" t="shared" si="39" ref="G27:O27">SUM(G3:G19)</f>
        <v>17.2</v>
      </c>
      <c r="H27" s="180">
        <f t="shared" si="39"/>
        <v>97285.0678733032</v>
      </c>
      <c r="I27" s="181">
        <f t="shared" si="39"/>
        <v>32422</v>
      </c>
      <c r="J27" s="182">
        <f t="shared" si="39"/>
        <v>26707</v>
      </c>
      <c r="K27" s="182">
        <f t="shared" si="39"/>
        <v>25135.999999999996</v>
      </c>
      <c r="L27" s="182">
        <f t="shared" si="39"/>
        <v>25135.999999999996</v>
      </c>
      <c r="M27" s="182">
        <f t="shared" si="39"/>
        <v>27021.199999999997</v>
      </c>
      <c r="N27" s="182">
        <f t="shared" si="39"/>
        <v>25683.27</v>
      </c>
      <c r="O27" s="182">
        <f t="shared" si="39"/>
        <v>25683</v>
      </c>
      <c r="P27" s="182">
        <f aca="true" t="shared" si="40" ref="P27:AA27">SUM(P3:P18)</f>
        <v>18550</v>
      </c>
      <c r="Q27" s="182">
        <f t="shared" si="40"/>
        <v>124687</v>
      </c>
      <c r="R27" s="182">
        <f t="shared" si="40"/>
        <v>20781</v>
      </c>
      <c r="S27" s="182">
        <f t="shared" si="40"/>
        <v>20781</v>
      </c>
      <c r="T27" s="182">
        <f t="shared" si="40"/>
        <v>20781</v>
      </c>
      <c r="U27" s="182">
        <f t="shared" si="40"/>
        <v>20781</v>
      </c>
      <c r="V27" s="182">
        <f t="shared" si="40"/>
        <v>20781</v>
      </c>
      <c r="W27" s="182">
        <f t="shared" si="40"/>
        <v>0</v>
      </c>
      <c r="X27" s="182">
        <f t="shared" si="40"/>
        <v>20782</v>
      </c>
      <c r="Y27" s="182">
        <f t="shared" si="40"/>
        <v>124687</v>
      </c>
      <c r="Z27" s="182">
        <f t="shared" si="40"/>
        <v>0</v>
      </c>
      <c r="AA27" s="182">
        <f t="shared" si="40"/>
        <v>0</v>
      </c>
      <c r="AB27" s="187">
        <f>SUM(AB3:AB19)</f>
        <v>17.5</v>
      </c>
      <c r="AC27" s="179">
        <f>SUM(AC3:AC19)</f>
        <v>32429</v>
      </c>
      <c r="AD27" s="179">
        <f>SUM(AD3:AD19)</f>
        <v>32430</v>
      </c>
      <c r="AE27" s="179">
        <f>SUM(AE3:AE19)</f>
        <v>32430</v>
      </c>
      <c r="AF27" s="179"/>
      <c r="AG27" s="57">
        <f>SUM(AG3:AG19)</f>
        <v>82497.73755656109</v>
      </c>
      <c r="AH27" s="57">
        <f>SUM(AH3:AH19)</f>
        <v>82497</v>
      </c>
      <c r="AI27" s="57">
        <f>SUM(AI3:AI19)</f>
        <v>27503</v>
      </c>
      <c r="AJ27" s="176">
        <f>SUM(AJ3:AJ19)</f>
        <v>28622</v>
      </c>
      <c r="AK27" s="175">
        <f>SUM(AK3:AK19)</f>
        <v>28622</v>
      </c>
      <c r="AL27" s="179"/>
      <c r="AM27" s="188"/>
      <c r="AN27" s="209">
        <f>SUM(AN3:AN19)</f>
        <v>32656</v>
      </c>
      <c r="AO27" s="190">
        <f aca="true" t="shared" si="41" ref="AO27:AV27">SUM(AO3:AO26)</f>
        <v>22.000000000000004</v>
      </c>
      <c r="AP27" s="190">
        <f t="shared" si="41"/>
        <v>21.200000000000003</v>
      </c>
      <c r="AQ27" s="187">
        <f t="shared" si="41"/>
        <v>50999.960000000014</v>
      </c>
      <c r="AR27" s="187">
        <f t="shared" si="41"/>
        <v>53000</v>
      </c>
      <c r="AS27" s="187">
        <f t="shared" si="41"/>
        <v>54000</v>
      </c>
      <c r="AT27" s="341">
        <f t="shared" si="41"/>
        <v>51000</v>
      </c>
      <c r="AU27" s="175">
        <f t="shared" si="41"/>
        <v>51000</v>
      </c>
      <c r="AV27" s="175">
        <f t="shared" si="41"/>
        <v>51000</v>
      </c>
      <c r="AW27" s="175">
        <f>SUM(AW3:AW26)</f>
        <v>153000</v>
      </c>
      <c r="AX27" s="175">
        <f>SUM(AX3:AX26)</f>
        <v>53000</v>
      </c>
      <c r="AY27" s="175">
        <f aca="true" t="shared" si="42" ref="AY27:BJ27">SUM(AY3:AY26)</f>
        <v>53000</v>
      </c>
      <c r="AZ27" s="175">
        <f t="shared" si="42"/>
        <v>54000</v>
      </c>
      <c r="BA27" s="175">
        <f t="shared" si="42"/>
        <v>160000</v>
      </c>
      <c r="BB27" s="278">
        <f t="shared" si="42"/>
        <v>0</v>
      </c>
      <c r="BC27" s="175">
        <f t="shared" si="42"/>
        <v>0</v>
      </c>
      <c r="BD27" s="175">
        <f t="shared" si="42"/>
        <v>0</v>
      </c>
      <c r="BE27" s="179">
        <f t="shared" si="42"/>
        <v>0</v>
      </c>
      <c r="BF27" s="179">
        <f t="shared" si="42"/>
        <v>0</v>
      </c>
      <c r="BG27" s="179">
        <f t="shared" si="42"/>
        <v>0</v>
      </c>
      <c r="BH27" s="325">
        <f t="shared" si="42"/>
        <v>0</v>
      </c>
      <c r="BI27" s="175">
        <f t="shared" si="42"/>
        <v>0</v>
      </c>
      <c r="BJ27" s="327">
        <f t="shared" si="42"/>
        <v>313000</v>
      </c>
      <c r="BK27" s="18"/>
      <c r="BL27" s="16"/>
      <c r="BM27" s="27"/>
      <c r="BN27" s="285"/>
      <c r="BO27" s="285"/>
      <c r="BP27" s="285"/>
    </row>
    <row r="28" spans="3:62" ht="17.25">
      <c r="C28" s="296" t="s">
        <v>142</v>
      </c>
      <c r="AF28" s="178">
        <v>125000</v>
      </c>
      <c r="AL28" s="101">
        <v>106000</v>
      </c>
      <c r="BG28" s="206"/>
      <c r="BJ28" s="114"/>
    </row>
    <row r="29" spans="3:59" ht="17.25">
      <c r="C29" s="297" t="s">
        <v>138</v>
      </c>
      <c r="BG29" s="206"/>
    </row>
    <row r="30" spans="3:59" ht="17.25">
      <c r="C30" s="296" t="s">
        <v>148</v>
      </c>
      <c r="BG30" s="206"/>
    </row>
    <row r="31" spans="3:59" ht="17.25">
      <c r="C31" s="297" t="s">
        <v>143</v>
      </c>
      <c r="BG31" s="206"/>
    </row>
    <row r="32" spans="3:59" ht="17.25">
      <c r="C32" s="297" t="s">
        <v>146</v>
      </c>
      <c r="BG32" s="206"/>
    </row>
    <row r="33" spans="3:59" ht="17.25">
      <c r="C33" s="298"/>
      <c r="BG33" s="206"/>
    </row>
    <row r="34" spans="3:59" ht="17.25">
      <c r="C34" s="298" t="s">
        <v>133</v>
      </c>
      <c r="BG34" s="206"/>
    </row>
    <row r="35" spans="3:59" ht="17.25">
      <c r="C35" s="299" t="s">
        <v>127</v>
      </c>
      <c r="D35" s="240"/>
      <c r="E35" s="240"/>
      <c r="F35" s="240"/>
      <c r="BG35" s="206"/>
    </row>
    <row r="36" spans="3:59" ht="17.25">
      <c r="C36" s="299" t="s">
        <v>128</v>
      </c>
      <c r="D36" s="240"/>
      <c r="E36" s="240"/>
      <c r="F36" s="240"/>
      <c r="BG36" s="206"/>
    </row>
    <row r="37" spans="3:59" ht="17.25">
      <c r="C37" s="297" t="s">
        <v>129</v>
      </c>
      <c r="BG37" s="206"/>
    </row>
    <row r="38" spans="3:59" ht="17.25">
      <c r="C38" s="297" t="s">
        <v>130</v>
      </c>
      <c r="BG38" s="206"/>
    </row>
    <row r="39" spans="3:8" ht="17.25">
      <c r="C39" s="343" t="s">
        <v>131</v>
      </c>
      <c r="D39" s="343"/>
      <c r="E39" s="343"/>
      <c r="F39" s="343"/>
      <c r="G39" s="343"/>
      <c r="H39" s="343"/>
    </row>
    <row r="40" spans="3:8" ht="17.25">
      <c r="C40" s="300" t="s">
        <v>132</v>
      </c>
      <c r="D40" s="192"/>
      <c r="E40" s="192"/>
      <c r="F40" s="192"/>
      <c r="G40" s="192"/>
      <c r="H40" s="192"/>
    </row>
    <row r="41" spans="3:8" ht="17.25">
      <c r="C41" s="300"/>
      <c r="D41" s="192"/>
      <c r="E41" s="192"/>
      <c r="F41" s="192"/>
      <c r="G41" s="192"/>
      <c r="H41" s="192"/>
    </row>
    <row r="42" ht="17.25">
      <c r="C42" s="296" t="s">
        <v>134</v>
      </c>
    </row>
    <row r="43" ht="17.25">
      <c r="C43" s="297" t="s">
        <v>136</v>
      </c>
    </row>
    <row r="44" ht="17.25">
      <c r="C44" s="297" t="s">
        <v>135</v>
      </c>
    </row>
  </sheetData>
  <mergeCells count="1">
    <mergeCell ref="C39:H39"/>
  </mergeCells>
  <printOptions/>
  <pageMargins left="0" right="0" top="0" bottom="0" header="0.011811024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2019-03-30T08:03:11Z</cp:lastPrinted>
  <dcterms:created xsi:type="dcterms:W3CDTF">2008-09-30T07:52:50Z</dcterms:created>
  <dcterms:modified xsi:type="dcterms:W3CDTF">2019-04-02T11:10:47Z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